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983"/>
  </bookViews>
  <sheets>
    <sheet name="для размещения на сайте" sheetId="1" r:id="rId1"/>
  </sheets>
  <calcPr calcId="162913"/>
</workbook>
</file>

<file path=xl/calcChain.xml><?xml version="1.0" encoding="utf-8"?>
<calcChain xmlns="http://schemas.openxmlformats.org/spreadsheetml/2006/main">
  <c r="J46" i="1" l="1"/>
  <c r="I46" i="1"/>
  <c r="M22" i="1" l="1"/>
  <c r="L22" i="1"/>
  <c r="J44" i="1"/>
  <c r="I44" i="1"/>
  <c r="H44" i="1"/>
  <c r="G44" i="1"/>
  <c r="J43" i="1"/>
  <c r="I43" i="1"/>
  <c r="H43" i="1"/>
  <c r="G43" i="1"/>
  <c r="J42" i="1"/>
  <c r="I42" i="1"/>
  <c r="H42" i="1"/>
  <c r="G42" i="1"/>
  <c r="J41" i="1"/>
  <c r="I41" i="1"/>
  <c r="H41" i="1"/>
  <c r="G41" i="1"/>
  <c r="I38" i="1"/>
  <c r="H38" i="1"/>
  <c r="G38" i="1"/>
  <c r="J37" i="1"/>
  <c r="I37" i="1"/>
  <c r="H37" i="1"/>
  <c r="G37" i="1"/>
  <c r="J36" i="1"/>
  <c r="I36" i="1"/>
  <c r="H36" i="1"/>
  <c r="G36" i="1"/>
  <c r="L34" i="1"/>
  <c r="H34" i="1"/>
  <c r="G34" i="1"/>
  <c r="F34" i="1"/>
  <c r="J34" i="1" s="1"/>
  <c r="E34" i="1"/>
  <c r="P25" i="1"/>
  <c r="Q25" i="1"/>
  <c r="R25" i="1"/>
  <c r="S25" i="1"/>
  <c r="M33" i="1"/>
  <c r="L33" i="1"/>
  <c r="F33" i="1"/>
  <c r="H33" i="1" s="1"/>
  <c r="E33" i="1"/>
  <c r="I33" i="1" s="1"/>
  <c r="M32" i="1"/>
  <c r="L32" i="1"/>
  <c r="H32" i="1"/>
  <c r="I32" i="1"/>
  <c r="J31" i="1"/>
  <c r="I31" i="1"/>
  <c r="H31" i="1"/>
  <c r="G31" i="1"/>
  <c r="M30" i="1"/>
  <c r="L30" i="1"/>
  <c r="H30" i="1"/>
  <c r="I30" i="1"/>
  <c r="J29" i="1"/>
  <c r="I29" i="1"/>
  <c r="H29" i="1"/>
  <c r="G29" i="1"/>
  <c r="J28" i="1"/>
  <c r="I28" i="1"/>
  <c r="H28" i="1"/>
  <c r="G28" i="1"/>
  <c r="M27" i="1"/>
  <c r="L27" i="1"/>
  <c r="F27" i="1"/>
  <c r="H27" i="1" s="1"/>
  <c r="E27" i="1"/>
  <c r="I27" i="1" s="1"/>
  <c r="M26" i="1"/>
  <c r="L26" i="1"/>
  <c r="F26" i="1"/>
  <c r="H26" i="1" s="1"/>
  <c r="E26" i="1"/>
  <c r="I26" i="1" s="1"/>
  <c r="J25" i="1"/>
  <c r="I25" i="1"/>
  <c r="H25" i="1"/>
  <c r="G25" i="1"/>
  <c r="J24" i="1"/>
  <c r="I24" i="1"/>
  <c r="G24" i="1"/>
  <c r="J23" i="1"/>
  <c r="I23" i="1"/>
  <c r="G23" i="1"/>
  <c r="N23" i="1"/>
  <c r="P23" i="1"/>
  <c r="N24" i="1"/>
  <c r="P24" i="1"/>
  <c r="Q24" i="1"/>
  <c r="N26" i="1"/>
  <c r="P26" i="1"/>
  <c r="N27" i="1"/>
  <c r="O27" i="1"/>
  <c r="P27" i="1"/>
  <c r="Q27" i="1"/>
  <c r="N28" i="1"/>
  <c r="O28" i="1"/>
  <c r="P28" i="1"/>
  <c r="Q28" i="1"/>
  <c r="N29" i="1"/>
  <c r="O29" i="1"/>
  <c r="P29" i="1"/>
  <c r="Q29" i="1"/>
  <c r="N30" i="1"/>
  <c r="O30" i="1"/>
  <c r="P30" i="1"/>
  <c r="Q30" i="1"/>
  <c r="N31" i="1"/>
  <c r="O31" i="1"/>
  <c r="P31" i="1"/>
  <c r="Q31" i="1"/>
  <c r="N32" i="1"/>
  <c r="O32" i="1"/>
  <c r="P32" i="1"/>
  <c r="Q32" i="1"/>
  <c r="N33" i="1"/>
  <c r="O33" i="1"/>
  <c r="P33" i="1"/>
  <c r="Q33" i="1"/>
  <c r="N34" i="1"/>
  <c r="O34" i="1"/>
  <c r="P34" i="1"/>
  <c r="Q34" i="1"/>
  <c r="G35" i="1"/>
  <c r="H35" i="1"/>
  <c r="I35" i="1"/>
  <c r="J35" i="1"/>
  <c r="N35" i="1"/>
  <c r="O35" i="1"/>
  <c r="P35" i="1"/>
  <c r="Q35" i="1"/>
  <c r="N36" i="1"/>
  <c r="O36" i="1"/>
  <c r="P36" i="1"/>
  <c r="Q36" i="1"/>
  <c r="N37" i="1"/>
  <c r="O37" i="1"/>
  <c r="P37" i="1"/>
  <c r="Q37" i="1"/>
  <c r="N38" i="1"/>
  <c r="O38" i="1"/>
  <c r="P38" i="1"/>
  <c r="Q38" i="1"/>
  <c r="G39" i="1"/>
  <c r="H39" i="1"/>
  <c r="I39" i="1"/>
  <c r="J39" i="1"/>
  <c r="N39" i="1"/>
  <c r="O39" i="1"/>
  <c r="P39" i="1"/>
  <c r="Q39" i="1"/>
  <c r="G40" i="1"/>
  <c r="I40" i="1"/>
  <c r="J40" i="1"/>
  <c r="N40" i="1"/>
  <c r="P40" i="1"/>
  <c r="Q40" i="1"/>
  <c r="N41" i="1"/>
  <c r="O41" i="1"/>
  <c r="P41" i="1"/>
  <c r="Q41" i="1"/>
  <c r="N42" i="1"/>
  <c r="O42" i="1"/>
  <c r="P42" i="1"/>
  <c r="Q42" i="1"/>
  <c r="N43" i="1"/>
  <c r="O43" i="1"/>
  <c r="P43" i="1"/>
  <c r="Q43" i="1"/>
  <c r="N44" i="1"/>
  <c r="O44" i="1"/>
  <c r="P44" i="1"/>
  <c r="Q44" i="1"/>
  <c r="I34" i="1" l="1"/>
  <c r="J26" i="1"/>
  <c r="J27" i="1"/>
  <c r="J30" i="1"/>
  <c r="J32" i="1"/>
  <c r="J33" i="1"/>
  <c r="G26" i="1"/>
  <c r="G27" i="1"/>
  <c r="G30" i="1"/>
  <c r="G32" i="1"/>
  <c r="G33" i="1"/>
  <c r="I13" i="1"/>
  <c r="I14" i="1"/>
  <c r="I15" i="1"/>
  <c r="I16" i="1"/>
  <c r="I17" i="1"/>
  <c r="I18" i="1"/>
  <c r="I19" i="1"/>
  <c r="I20" i="1"/>
  <c r="I21" i="1"/>
  <c r="I12" i="1"/>
  <c r="R46" i="1" l="1"/>
  <c r="L11" i="1"/>
  <c r="M11" i="1" l="1"/>
  <c r="S20" i="1"/>
  <c r="R20" i="1"/>
  <c r="Q20" i="1"/>
  <c r="P20" i="1"/>
  <c r="O20" i="1"/>
  <c r="N20" i="1"/>
  <c r="J20" i="1"/>
  <c r="S44" i="1" l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4" i="1"/>
  <c r="R24" i="1"/>
  <c r="S23" i="1"/>
  <c r="R23" i="1"/>
  <c r="K22" i="1"/>
  <c r="R1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P22" i="1" l="1"/>
  <c r="N22" i="1"/>
  <c r="Q22" i="1"/>
  <c r="O22" i="1"/>
  <c r="Q46" i="1" l="1"/>
  <c r="P46" i="1"/>
  <c r="O46" i="1"/>
  <c r="N46" i="1"/>
  <c r="M45" i="1" l="1"/>
  <c r="M10" i="1" s="1"/>
  <c r="L45" i="1"/>
  <c r="L10" i="1" s="1"/>
  <c r="K45" i="1"/>
  <c r="K11" i="1"/>
  <c r="K10" i="1" l="1"/>
  <c r="P45" i="1"/>
  <c r="O45" i="1"/>
  <c r="Q45" i="1"/>
  <c r="N45" i="1"/>
  <c r="Q21" i="1"/>
  <c r="P21" i="1"/>
  <c r="O21" i="1"/>
  <c r="N21" i="1"/>
  <c r="J21" i="1"/>
  <c r="N12" i="1" l="1"/>
  <c r="Q12" i="1" l="1"/>
  <c r="P12" i="1"/>
  <c r="O12" i="1"/>
  <c r="J12" i="1"/>
  <c r="P13" i="1" l="1"/>
  <c r="O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9" i="1"/>
  <c r="O19" i="1"/>
  <c r="P19" i="1"/>
  <c r="Q19" i="1"/>
  <c r="J18" i="1"/>
  <c r="J13" i="1"/>
  <c r="J14" i="1"/>
  <c r="J15" i="1"/>
  <c r="J16" i="1"/>
  <c r="J17" i="1"/>
  <c r="J19" i="1"/>
  <c r="Q18" i="1" l="1"/>
  <c r="P18" i="1"/>
  <c r="O18" i="1"/>
  <c r="O11" i="1" s="1"/>
  <c r="N18" i="1"/>
  <c r="N13" i="1"/>
  <c r="Q13" i="1"/>
  <c r="N11" i="1" l="1"/>
  <c r="Q11" i="1"/>
  <c r="P11" i="1"/>
  <c r="P10" i="1"/>
  <c r="Q10" i="1"/>
  <c r="O10" i="1"/>
  <c r="N10" i="1" l="1"/>
</calcChain>
</file>

<file path=xl/comments1.xml><?xml version="1.0" encoding="utf-8"?>
<comments xmlns="http://schemas.openxmlformats.org/spreadsheetml/2006/main">
  <authors>
    <author>Автор</author>
  </authors>
  <commentList>
    <comment ref="D12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F12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D18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F18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L19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0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1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<sst xmlns="http://schemas.openxmlformats.org/spreadsheetml/2006/main" count="129" uniqueCount="71">
  <si>
    <t>Организация отдыха детей и молодежи</t>
  </si>
  <si>
    <t>Предоставление питания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</si>
  <si>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</si>
  <si>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</si>
  <si>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</si>
  <si>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</si>
  <si>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</si>
  <si>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</si>
  <si>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</si>
  <si>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</si>
  <si>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</si>
  <si>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</si>
  <si>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</si>
  <si>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число зрителей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</si>
  <si>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</si>
  <si>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</si>
  <si>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</si>
  <si>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</si>
  <si>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</si>
  <si>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</si>
  <si>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</si>
  <si>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</si>
  <si>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</si>
  <si>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</si>
  <si>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</si>
  <si>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</si>
  <si>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</si>
  <si>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</si>
  <si>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</si>
  <si>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</si>
  <si>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</si>
  <si>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</si>
  <si>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</si>
  <si>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</si>
  <si>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</si>
  <si>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</si>
  <si>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</si>
  <si>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</si>
  <si>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</si>
  <si>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</si>
  <si>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</si>
  <si>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</si>
  <si>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</si>
  <si>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</si>
  <si>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</si>
  <si>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 меропрятий </t>
  </si>
  <si>
    <t>Показ кинофильмов</t>
  </si>
  <si>
    <t>Организация спортивной подготовки на спортивно-оздоровительном этапе</t>
  </si>
  <si>
    <t>количество занимающихся</t>
  </si>
  <si>
    <t>Содержание детей</t>
  </si>
  <si>
    <t>III.</t>
  </si>
  <si>
    <t>Администрация</t>
  </si>
  <si>
    <t>Наименование муниципальной услуги, работы</t>
  </si>
  <si>
    <t>Осуществление издательской деятельности</t>
  </si>
  <si>
    <t>Единица измерения муниципальной услуги, работы</t>
  </si>
  <si>
    <t>квадратный сантиметр</t>
  </si>
  <si>
    <t>План</t>
  </si>
  <si>
    <t>Факт</t>
  </si>
  <si>
    <t xml:space="preserve">План стоимости единицы услуги, тыс. рублей </t>
  </si>
  <si>
    <t xml:space="preserve">Фактическая стоимость единицы услуги, тыс. рублей </t>
  </si>
  <si>
    <t xml:space="preserve">Отклонение от плана </t>
  </si>
  <si>
    <t>Методическое обеспечение образовательной деятельности</t>
  </si>
  <si>
    <t>Реализация дополнительных общеразвивающих программ(физкультурно-спортивная напрвленность)</t>
  </si>
  <si>
    <t xml:space="preserve">Информация к отчету об исполнении  бюджета муниципального образования городской округ "Охинский" за 2024 год </t>
  </si>
  <si>
    <t xml:space="preserve">Сведения о выполненных в 2024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</si>
  <si>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 xml:space="preserve">Реализация дополнительных образовательных программ спортивной подготовки по олимпийским видам спорта </t>
  </si>
  <si>
    <t>Реализация дополнительных образовательных программ спортивной подготовки по неолимпийским видам спорта</t>
  </si>
  <si>
    <t>Отдел образования</t>
  </si>
  <si>
    <t>Отдел культуры</t>
  </si>
  <si>
    <t>Показ (организация показа) концертов и концертных программ</t>
  </si>
  <si>
    <t>количество разработанных документов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</si>
</sst>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.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2">
      <alignment horizontal="center" vertical="center"/>
    </xf>
  </cellStyleXfs>
  <cellXfs count="76">
    <xf numFmtId="0" fontId="0" fillId="0" borderId="0" xfId="0"/>
    <xf numFmtId="0" fontId="5" fillId="0" borderId="1" xfId="0" applyFont="1" applyBorder="1" applyAlignment="1">
      <alignment horizontal="center" vertical="top"/>
    </xf>
    <xf numFmtId="0" fontId="5" fillId="0" borderId="0" xfId="0" applyFont="1"/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1" xfId="0" applyBorder="1"/>
    <xf numFmtId="0" fontId="5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165" fontId="14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165" fontId="16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/>
    </xf>
    <xf numFmtId="0" fontId="19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5" fontId="16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/>
    </xf>
    <xf numFmtId="1" fontId="7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18" fillId="0" borderId="0" xfId="0" applyFont="1" applyFill="1"/>
    <xf numFmtId="0" fontId="16" fillId="4" borderId="1" xfId="0" applyFont="1" applyFill="1" applyBorder="1" applyAlignment="1">
      <alignment horizontal="center" vertical="top"/>
    </xf>
    <xf numFmtId="0" fontId="17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3" fontId="16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3" fontId="2" fillId="0" borderId="0" xfId="2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 vertical="center"/>
    </xf>
    <xf numFmtId="0" fontId="18" fillId="4" borderId="1" xfId="0" applyFont="1" applyFill="1" applyBorder="1" applyAlignment="1">
      <alignment horizontal="right" vertical="center"/>
    </xf>
    <xf numFmtId="165" fontId="19" fillId="2" borderId="1" xfId="0" applyNumberFormat="1" applyFont="1" applyFill="1" applyBorder="1" applyAlignment="1">
      <alignment horizontal="right" vertical="center"/>
    </xf>
    <xf numFmtId="166" fontId="19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19" fillId="2" borderId="1" xfId="0" applyNumberFormat="1" applyFont="1" applyFill="1" applyBorder="1" applyAlignment="1">
      <alignment horizontal="center" vertical="center"/>
    </xf>
    <xf numFmtId="0" fontId="13" fillId="4" borderId="1" xfId="3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4">
    <cellStyle name="xl37" xfId="3"/>
    <cellStyle name="Обычный" xfId="0" builtinId="0"/>
    <cellStyle name="Обычный 2" xfId="1"/>
    <cellStyle name="Обычный_ПРИЛОЖЕНИЕ 5" xfId="2"/>
  </cellStyles>
  <dxfs count="0"/>
  <tableStyles count="0" defaultTableStyle="TableStyleMedium2" defaultPivotStyle="PivotStyleMedium9"/>
  <colors>
    <mruColors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80" zoomScaleNormal="80" zoomScaleSheetLayoutView="100" workbookViewId="0">
      <pane xSplit="3" ySplit="9" topLeftCell="E10" activePane="bottomRight" state="frozen"/>
      <selection pane="topRight" activeCell="D1" sqref="D1"/>
      <selection pane="bottomLeft" activeCell="A9" sqref="A9"/>
      <selection pane="bottomRight" activeCell="A5" sqref="A5:Q5"/>
    </sheetView>
  </sheetViews>
  <sheetFormatPr defaultRowHeight="14.6" x14ac:dyDescent="0.4"/>
  <cols>
    <col min="1" max="1" width="4.69140625" customWidth="1"/>
    <col min="2" max="2" width="58.15234375" customWidth="1"/>
    <col min="3" max="3" width="17.69140625" customWidth="1"/>
    <col min="4" max="4" width="16.3828125" hidden="1" customWidth="1"/>
    <col min="5" max="5" width="16.53515625" customWidth="1"/>
    <col min="6" max="6" width="14.15234375" customWidth="1"/>
    <col min="7" max="7" width="15.3828125" hidden="1" customWidth="1"/>
    <col min="8" max="8" width="13.15234375" hidden="1" customWidth="1"/>
    <col min="9" max="9" width="13.69140625" customWidth="1"/>
    <col min="10" max="10" width="12.53515625" customWidth="1"/>
    <col min="11" max="11" width="16" hidden="1" customWidth="1"/>
    <col min="12" max="12" width="14.53515625" bestFit="1" customWidth="1"/>
    <col min="13" max="13" width="12.3828125" customWidth="1"/>
    <col min="14" max="14" width="12.3828125" hidden="1" customWidth="1"/>
    <col min="15" max="15" width="10.3828125" hidden="1" customWidth="1"/>
    <col min="16" max="16" width="12.3828125" bestFit="1" customWidth="1"/>
    <col min="17" max="17" width="9.69140625" customWidth="1"/>
    <col min="18" max="19" width="13.23046875" customWidth="1"/>
  </cols>
  <sheetData>
    <row r="1" spans="1:19" ht="63" customHeight="1" x14ac:dyDescent="0.4">
      <c r="N1" s="59" t="s">
        <v>63</v>
      </c>
      <c r="O1" s="59"/>
      <c r="P1" s="59"/>
      <c r="Q1" s="59"/>
      <c r="R1" s="59"/>
    </row>
    <row r="5" spans="1:19" ht="36.75" customHeight="1" x14ac:dyDescent="0.4">
      <c r="A5" s="62" t="s">
        <v>64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</row>
    <row r="6" spans="1:19" ht="15.45" x14ac:dyDescent="0.4">
      <c r="B6" s="2"/>
      <c r="C6" s="2"/>
      <c r="D6" s="7"/>
    </row>
    <row r="7" spans="1:19" ht="40.5" customHeight="1" x14ac:dyDescent="0.4">
      <c r="A7" s="73" t="s">
        <v>5</v>
      </c>
      <c r="B7" s="64" t="s">
        <v>52</v>
      </c>
      <c r="C7" s="64" t="s">
        <v>54</v>
      </c>
      <c r="D7" s="64" t="s">
        <v>7</v>
      </c>
      <c r="E7" s="65"/>
      <c r="F7" s="65"/>
      <c r="G7" s="65"/>
      <c r="H7" s="65"/>
      <c r="I7" s="65"/>
      <c r="J7" s="65"/>
      <c r="K7" s="64" t="s">
        <v>8</v>
      </c>
      <c r="L7" s="65"/>
      <c r="M7" s="65"/>
      <c r="N7" s="65"/>
      <c r="O7" s="65"/>
      <c r="P7" s="65"/>
      <c r="Q7" s="65"/>
      <c r="R7" s="72" t="s">
        <v>58</v>
      </c>
      <c r="S7" s="72" t="s">
        <v>59</v>
      </c>
    </row>
    <row r="8" spans="1:19" ht="23.25" customHeight="1" x14ac:dyDescent="0.4">
      <c r="A8" s="73"/>
      <c r="B8" s="64"/>
      <c r="C8" s="64"/>
      <c r="D8" s="58"/>
      <c r="E8" s="57" t="s">
        <v>56</v>
      </c>
      <c r="F8" s="57" t="s">
        <v>57</v>
      </c>
      <c r="G8" s="64" t="s">
        <v>60</v>
      </c>
      <c r="H8" s="65"/>
      <c r="I8" s="65"/>
      <c r="J8" s="65"/>
      <c r="K8" s="58"/>
      <c r="L8" s="57" t="s">
        <v>56</v>
      </c>
      <c r="M8" s="57" t="s">
        <v>57</v>
      </c>
      <c r="N8" s="64" t="s">
        <v>60</v>
      </c>
      <c r="O8" s="65"/>
      <c r="P8" s="65"/>
      <c r="Q8" s="65"/>
      <c r="R8" s="72"/>
      <c r="S8" s="72"/>
    </row>
    <row r="9" spans="1:19" ht="23.25" customHeight="1" x14ac:dyDescent="0.4">
      <c r="A9" s="73"/>
      <c r="B9" s="74"/>
      <c r="C9" s="75"/>
      <c r="D9" s="57" t="s">
        <v>36</v>
      </c>
      <c r="E9" s="57" t="s">
        <v>36</v>
      </c>
      <c r="F9" s="57" t="s">
        <v>36</v>
      </c>
      <c r="G9" s="57" t="s">
        <v>36</v>
      </c>
      <c r="H9" s="57" t="s">
        <v>2</v>
      </c>
      <c r="I9" s="57" t="s">
        <v>36</v>
      </c>
      <c r="J9" s="57" t="s">
        <v>2</v>
      </c>
      <c r="K9" s="57" t="s">
        <v>43</v>
      </c>
      <c r="L9" s="57" t="s">
        <v>43</v>
      </c>
      <c r="M9" s="57" t="s">
        <v>43</v>
      </c>
      <c r="N9" s="57" t="s">
        <v>43</v>
      </c>
      <c r="O9" s="57" t="s">
        <v>2</v>
      </c>
      <c r="P9" s="57" t="s">
        <v>43</v>
      </c>
      <c r="Q9" s="57" t="s">
        <v>2</v>
      </c>
      <c r="R9" s="72"/>
      <c r="S9" s="72"/>
    </row>
    <row r="10" spans="1:19" ht="56.6" x14ac:dyDescent="0.4">
      <c r="A10" s="28"/>
      <c r="B10" s="4" t="s">
        <v>38</v>
      </c>
      <c r="C10" s="5"/>
      <c r="D10" s="3" t="s">
        <v>41</v>
      </c>
      <c r="E10" s="12" t="s">
        <v>41</v>
      </c>
      <c r="F10" s="12" t="s">
        <v>41</v>
      </c>
      <c r="G10" s="12" t="s">
        <v>41</v>
      </c>
      <c r="H10" s="12" t="s">
        <v>41</v>
      </c>
      <c r="I10" s="12" t="s">
        <v>41</v>
      </c>
      <c r="J10" s="12" t="s">
        <v>41</v>
      </c>
      <c r="K10" s="11">
        <f t="shared" ref="K10" si="0">SUM(K11+K22)</f>
        <v>1613465.5</v>
      </c>
      <c r="L10" s="14">
        <f>SUM(L11+L22)+L45</f>
        <v>2303622.6999999997</v>
      </c>
      <c r="M10" s="14">
        <f>SUM(M11+M22)+M45</f>
        <v>2276928.1</v>
      </c>
      <c r="N10" s="29">
        <f>SUM(M10-K10)</f>
        <v>663462.60000000009</v>
      </c>
      <c r="O10" s="29">
        <f>SUM(M10/K10)*100</f>
        <v>141.12034623609864</v>
      </c>
      <c r="P10" s="29">
        <f>SUM(M10-L10)</f>
        <v>-26694.599999999627</v>
      </c>
      <c r="Q10" s="29">
        <f>SUM(M10/L10)*100</f>
        <v>98.841190443209314</v>
      </c>
      <c r="R10" s="6"/>
      <c r="S10" s="6"/>
    </row>
    <row r="11" spans="1:19" ht="15" x14ac:dyDescent="0.4">
      <c r="A11" s="40" t="s">
        <v>39</v>
      </c>
      <c r="B11" s="41" t="s">
        <v>67</v>
      </c>
      <c r="C11" s="42"/>
      <c r="D11" s="43" t="s">
        <v>41</v>
      </c>
      <c r="E11" s="44" t="s">
        <v>41</v>
      </c>
      <c r="F11" s="44" t="s">
        <v>41</v>
      </c>
      <c r="G11" s="44" t="s">
        <v>41</v>
      </c>
      <c r="H11" s="44" t="s">
        <v>41</v>
      </c>
      <c r="I11" s="44" t="s">
        <v>41</v>
      </c>
      <c r="J11" s="44" t="s">
        <v>41</v>
      </c>
      <c r="K11" s="45">
        <f t="shared" ref="K11" si="1">SUM(K12+K13+K14+K15+K16+K17+K18+K19+K21)</f>
        <v>1300241.3999999999</v>
      </c>
      <c r="L11" s="46">
        <f>SUM(L12+L13+L14+L15+L16+L17+L18+L19+L20+L21)</f>
        <v>1822194.1999999997</v>
      </c>
      <c r="M11" s="46">
        <f t="shared" ref="M11:O11" si="2">SUM(M12+M13+M14+M15+M16+M17+M18+M19+M20+M21)</f>
        <v>1808273.4999999998</v>
      </c>
      <c r="N11" s="46">
        <f t="shared" si="2"/>
        <v>498208.6</v>
      </c>
      <c r="O11" s="46">
        <f t="shared" si="2"/>
        <v>1077.124417360382</v>
      </c>
      <c r="P11" s="47">
        <f>SUM(M11-L11)</f>
        <v>-13920.699999999953</v>
      </c>
      <c r="Q11" s="47">
        <f>SUM(M11/L11)*100</f>
        <v>99.236047398241084</v>
      </c>
      <c r="R11" s="48"/>
      <c r="S11" s="48"/>
    </row>
    <row r="12" spans="1:19" ht="30.9" x14ac:dyDescent="0.4">
      <c r="A12" s="1">
        <v>1</v>
      </c>
      <c r="B12" s="17" t="s">
        <v>3</v>
      </c>
      <c r="C12" s="17" t="s">
        <v>6</v>
      </c>
      <c r="D12" s="22">
        <v>1517</v>
      </c>
      <c r="E12" s="18">
        <v>1080</v>
      </c>
      <c r="F12" s="18">
        <v>1080</v>
      </c>
      <c r="G12" s="18"/>
      <c r="H12" s="15"/>
      <c r="I12" s="19">
        <f t="shared" ref="I12:I21" si="3">SUM(F12-E12)</f>
        <v>0</v>
      </c>
      <c r="J12" s="19">
        <f>SUM(F12/E12)*100</f>
        <v>100</v>
      </c>
      <c r="K12" s="20">
        <v>477772.4</v>
      </c>
      <c r="L12" s="21">
        <v>617263.5</v>
      </c>
      <c r="M12" s="21">
        <v>617252.9</v>
      </c>
      <c r="N12" s="16">
        <f t="shared" ref="N12:N20" si="4">SUM(M12-K12)</f>
        <v>139480.5</v>
      </c>
      <c r="O12" s="16">
        <f>SUM(M12/K12)*100</f>
        <v>129.19392162460619</v>
      </c>
      <c r="P12" s="16">
        <f>SUM(M12-L12)</f>
        <v>-10.599999999976717</v>
      </c>
      <c r="Q12" s="16">
        <f>SUM(M12/L12)*100</f>
        <v>99.998282743107282</v>
      </c>
      <c r="R12" s="66">
        <f>L12/E12</f>
        <v>571.54027777777776</v>
      </c>
      <c r="S12" s="66">
        <f>M12/F12</f>
        <v>571.53046296296293</v>
      </c>
    </row>
    <row r="13" spans="1:19" ht="30.9" x14ac:dyDescent="0.4">
      <c r="A13" s="1">
        <v>2</v>
      </c>
      <c r="B13" s="17" t="s">
        <v>4</v>
      </c>
      <c r="C13" s="17" t="s">
        <v>6</v>
      </c>
      <c r="D13" s="22">
        <v>1703</v>
      </c>
      <c r="E13" s="18">
        <v>1072</v>
      </c>
      <c r="F13" s="18">
        <v>1072</v>
      </c>
      <c r="G13" s="18"/>
      <c r="H13" s="15"/>
      <c r="I13" s="19">
        <f t="shared" si="3"/>
        <v>0</v>
      </c>
      <c r="J13" s="19">
        <f t="shared" ref="J13:J20" si="5">SUM(F13/E13)*100</f>
        <v>100</v>
      </c>
      <c r="K13" s="20">
        <v>156620.1</v>
      </c>
      <c r="L13" s="21">
        <v>193562.7</v>
      </c>
      <c r="M13" s="21">
        <v>189257.1</v>
      </c>
      <c r="N13" s="16">
        <f t="shared" si="4"/>
        <v>32637</v>
      </c>
      <c r="O13" s="16">
        <f t="shared" ref="O13:O20" si="6">SUM(M13/K13)*100</f>
        <v>120.83832151811933</v>
      </c>
      <c r="P13" s="16">
        <f t="shared" ref="P13:P20" si="7">SUM(M13-L13)</f>
        <v>-4305.6000000000058</v>
      </c>
      <c r="Q13" s="16">
        <f t="shared" ref="Q13:Q20" si="8">SUM(M13/L13)*100</f>
        <v>97.77560449404767</v>
      </c>
      <c r="R13" s="66">
        <f t="shared" ref="R13:R21" si="9">L13/E13</f>
        <v>180.56222014925373</v>
      </c>
      <c r="S13" s="66">
        <f t="shared" ref="S13:S21" si="10">M13/F13</f>
        <v>176.54580223880598</v>
      </c>
    </row>
    <row r="14" spans="1:19" ht="30.9" x14ac:dyDescent="0.4">
      <c r="A14" s="1">
        <v>3</v>
      </c>
      <c r="B14" s="17" t="s">
        <v>9</v>
      </c>
      <c r="C14" s="17" t="s">
        <v>6</v>
      </c>
      <c r="D14" s="22">
        <v>1106</v>
      </c>
      <c r="E14" s="18">
        <v>1065</v>
      </c>
      <c r="F14" s="18">
        <v>1054</v>
      </c>
      <c r="G14" s="18"/>
      <c r="H14" s="15"/>
      <c r="I14" s="19">
        <f t="shared" si="3"/>
        <v>-11</v>
      </c>
      <c r="J14" s="19">
        <f t="shared" si="5"/>
        <v>98.967136150234751</v>
      </c>
      <c r="K14" s="23">
        <v>220763.2</v>
      </c>
      <c r="L14" s="16">
        <v>374848.6</v>
      </c>
      <c r="M14" s="16">
        <v>370179.9</v>
      </c>
      <c r="N14" s="16">
        <f t="shared" si="4"/>
        <v>149416.70000000001</v>
      </c>
      <c r="O14" s="16">
        <f t="shared" si="6"/>
        <v>167.68188719859108</v>
      </c>
      <c r="P14" s="16">
        <f t="shared" si="7"/>
        <v>-4668.6999999999534</v>
      </c>
      <c r="Q14" s="16">
        <f t="shared" si="8"/>
        <v>98.754510487700912</v>
      </c>
      <c r="R14" s="66">
        <f t="shared" si="9"/>
        <v>351.97051643192486</v>
      </c>
      <c r="S14" s="66">
        <f t="shared" si="10"/>
        <v>351.21432637571161</v>
      </c>
    </row>
    <row r="15" spans="1:19" ht="30.9" x14ac:dyDescent="0.4">
      <c r="A15" s="1">
        <v>4</v>
      </c>
      <c r="B15" s="17" t="s">
        <v>10</v>
      </c>
      <c r="C15" s="17" t="s">
        <v>6</v>
      </c>
      <c r="D15" s="22">
        <v>1426</v>
      </c>
      <c r="E15" s="18">
        <v>1298</v>
      </c>
      <c r="F15" s="18">
        <v>1325</v>
      </c>
      <c r="G15" s="18"/>
      <c r="H15" s="15"/>
      <c r="I15" s="19">
        <f t="shared" si="3"/>
        <v>27</v>
      </c>
      <c r="J15" s="19">
        <f t="shared" si="5"/>
        <v>102.08012326656394</v>
      </c>
      <c r="K15" s="23">
        <v>284637.09999999998</v>
      </c>
      <c r="L15" s="16">
        <v>437564.9</v>
      </c>
      <c r="M15" s="16">
        <v>432819.8</v>
      </c>
      <c r="N15" s="16">
        <f t="shared" si="4"/>
        <v>148182.70000000001</v>
      </c>
      <c r="O15" s="16">
        <f t="shared" si="6"/>
        <v>152.06021983782156</v>
      </c>
      <c r="P15" s="16">
        <f t="shared" si="7"/>
        <v>-4745.1000000000349</v>
      </c>
      <c r="Q15" s="16">
        <f t="shared" si="8"/>
        <v>98.915566582237275</v>
      </c>
      <c r="R15" s="66">
        <f t="shared" si="9"/>
        <v>337.10701078582434</v>
      </c>
      <c r="S15" s="66">
        <f t="shared" si="10"/>
        <v>326.6564528301887</v>
      </c>
    </row>
    <row r="16" spans="1:19" ht="30.9" x14ac:dyDescent="0.4">
      <c r="A16" s="1">
        <v>5</v>
      </c>
      <c r="B16" s="17" t="s">
        <v>11</v>
      </c>
      <c r="C16" s="17" t="s">
        <v>6</v>
      </c>
      <c r="D16" s="22">
        <v>304</v>
      </c>
      <c r="E16" s="18">
        <v>169</v>
      </c>
      <c r="F16" s="18">
        <v>175</v>
      </c>
      <c r="G16" s="18"/>
      <c r="H16" s="15"/>
      <c r="I16" s="19">
        <f t="shared" si="3"/>
        <v>6</v>
      </c>
      <c r="J16" s="19">
        <f t="shared" si="5"/>
        <v>103.55029585798816</v>
      </c>
      <c r="K16" s="23">
        <v>60680</v>
      </c>
      <c r="L16" s="16">
        <v>65071.7</v>
      </c>
      <c r="M16" s="16">
        <v>65007.9</v>
      </c>
      <c r="N16" s="16">
        <f t="shared" si="4"/>
        <v>4327.9000000000015</v>
      </c>
      <c r="O16" s="16">
        <f t="shared" si="6"/>
        <v>107.13233355306527</v>
      </c>
      <c r="P16" s="16">
        <f t="shared" si="7"/>
        <v>-63.799999999995634</v>
      </c>
      <c r="Q16" s="16">
        <f t="shared" si="8"/>
        <v>99.901954305788848</v>
      </c>
      <c r="R16" s="66">
        <f t="shared" si="9"/>
        <v>385.0396449704142</v>
      </c>
      <c r="S16" s="66">
        <f t="shared" si="10"/>
        <v>371.47371428571427</v>
      </c>
    </row>
    <row r="17" spans="1:19" ht="30.9" hidden="1" x14ac:dyDescent="0.4">
      <c r="A17" s="1">
        <v>6</v>
      </c>
      <c r="B17" s="17" t="s">
        <v>0</v>
      </c>
      <c r="C17" s="17" t="s">
        <v>35</v>
      </c>
      <c r="D17" s="22">
        <v>1065</v>
      </c>
      <c r="E17" s="18">
        <v>0</v>
      </c>
      <c r="F17" s="18"/>
      <c r="G17" s="18"/>
      <c r="H17" s="15"/>
      <c r="I17" s="19">
        <f t="shared" si="3"/>
        <v>0</v>
      </c>
      <c r="J17" s="19" t="e">
        <f t="shared" si="5"/>
        <v>#DIV/0!</v>
      </c>
      <c r="K17" s="23">
        <v>8136.7</v>
      </c>
      <c r="L17" s="16"/>
      <c r="M17" s="16"/>
      <c r="N17" s="16">
        <f t="shared" si="4"/>
        <v>-8136.7</v>
      </c>
      <c r="O17" s="16">
        <f t="shared" si="6"/>
        <v>0</v>
      </c>
      <c r="P17" s="16">
        <f t="shared" si="7"/>
        <v>0</v>
      </c>
      <c r="Q17" s="16" t="e">
        <f t="shared" si="8"/>
        <v>#DIV/0!</v>
      </c>
      <c r="R17" s="66" t="e">
        <f t="shared" si="9"/>
        <v>#DIV/0!</v>
      </c>
      <c r="S17" s="66" t="e">
        <f t="shared" si="10"/>
        <v>#DIV/0!</v>
      </c>
    </row>
    <row r="18" spans="1:19" ht="30.9" x14ac:dyDescent="0.4">
      <c r="A18" s="1">
        <v>6</v>
      </c>
      <c r="B18" s="17" t="s">
        <v>12</v>
      </c>
      <c r="C18" s="17" t="s">
        <v>6</v>
      </c>
      <c r="D18" s="22">
        <v>2178</v>
      </c>
      <c r="E18" s="18">
        <v>2242</v>
      </c>
      <c r="F18" s="18">
        <v>2224</v>
      </c>
      <c r="G18" s="18"/>
      <c r="H18" s="15"/>
      <c r="I18" s="19">
        <f t="shared" si="3"/>
        <v>-18</v>
      </c>
      <c r="J18" s="19">
        <f t="shared" si="5"/>
        <v>99.197145405887596</v>
      </c>
      <c r="K18" s="23">
        <v>51932.800000000003</v>
      </c>
      <c r="L18" s="16">
        <v>68565</v>
      </c>
      <c r="M18" s="16">
        <v>68505.899999999994</v>
      </c>
      <c r="N18" s="16">
        <f t="shared" si="4"/>
        <v>16573.099999999991</v>
      </c>
      <c r="O18" s="16">
        <f t="shared" si="6"/>
        <v>131.91258703555363</v>
      </c>
      <c r="P18" s="16">
        <f t="shared" si="7"/>
        <v>-59.100000000005821</v>
      </c>
      <c r="Q18" s="16">
        <f t="shared" si="8"/>
        <v>99.913804419164293</v>
      </c>
      <c r="R18" s="66">
        <f t="shared" si="9"/>
        <v>30.582069580731488</v>
      </c>
      <c r="S18" s="66">
        <f t="shared" si="10"/>
        <v>30.803012589928056</v>
      </c>
    </row>
    <row r="19" spans="1:19" ht="30.9" x14ac:dyDescent="0.4">
      <c r="A19" s="1">
        <v>7</v>
      </c>
      <c r="B19" s="17" t="s">
        <v>1</v>
      </c>
      <c r="C19" s="17" t="s">
        <v>6</v>
      </c>
      <c r="D19" s="22">
        <v>2224</v>
      </c>
      <c r="E19" s="18">
        <v>2140</v>
      </c>
      <c r="F19" s="18">
        <v>2145</v>
      </c>
      <c r="G19" s="18"/>
      <c r="H19" s="15"/>
      <c r="I19" s="19">
        <f t="shared" si="3"/>
        <v>5</v>
      </c>
      <c r="J19" s="19">
        <f t="shared" si="5"/>
        <v>100.23364485981307</v>
      </c>
      <c r="K19" s="23">
        <v>29875.599999999999</v>
      </c>
      <c r="L19" s="16">
        <v>58014.5</v>
      </c>
      <c r="M19" s="16">
        <v>57946.7</v>
      </c>
      <c r="N19" s="16">
        <f t="shared" si="4"/>
        <v>28071.1</v>
      </c>
      <c r="O19" s="16">
        <f t="shared" si="6"/>
        <v>193.9599539423476</v>
      </c>
      <c r="P19" s="16">
        <f t="shared" si="7"/>
        <v>-67.80000000000291</v>
      </c>
      <c r="Q19" s="16">
        <f t="shared" si="8"/>
        <v>99.883132665109571</v>
      </c>
      <c r="R19" s="66">
        <f t="shared" si="9"/>
        <v>27.109579439252336</v>
      </c>
      <c r="S19" s="66">
        <f t="shared" si="10"/>
        <v>27.014778554778552</v>
      </c>
    </row>
    <row r="20" spans="1:19" ht="30.9" x14ac:dyDescent="0.4">
      <c r="A20" s="1">
        <v>8</v>
      </c>
      <c r="B20" s="17" t="s">
        <v>49</v>
      </c>
      <c r="C20" s="17" t="s">
        <v>6</v>
      </c>
      <c r="D20" s="22">
        <v>59</v>
      </c>
      <c r="E20" s="18">
        <v>70</v>
      </c>
      <c r="F20" s="18">
        <v>66</v>
      </c>
      <c r="G20" s="18"/>
      <c r="H20" s="15"/>
      <c r="I20" s="19">
        <f t="shared" si="3"/>
        <v>-4</v>
      </c>
      <c r="J20" s="19">
        <f t="shared" si="5"/>
        <v>94.285714285714278</v>
      </c>
      <c r="K20" s="23">
        <v>9823.5</v>
      </c>
      <c r="L20" s="16">
        <v>6603.3</v>
      </c>
      <c r="M20" s="16">
        <v>6603.3</v>
      </c>
      <c r="N20" s="16">
        <f t="shared" si="4"/>
        <v>-3220.2</v>
      </c>
      <c r="O20" s="16">
        <f t="shared" si="6"/>
        <v>67.219422812643145</v>
      </c>
      <c r="P20" s="16">
        <f t="shared" si="7"/>
        <v>0</v>
      </c>
      <c r="Q20" s="16">
        <f t="shared" si="8"/>
        <v>100</v>
      </c>
      <c r="R20" s="66">
        <f t="shared" ref="R20" si="11">L20/E20</f>
        <v>94.332857142857151</v>
      </c>
      <c r="S20" s="66">
        <f t="shared" ref="S20" si="12">M20/F20</f>
        <v>100.05</v>
      </c>
    </row>
    <row r="21" spans="1:19" ht="46.3" x14ac:dyDescent="0.4">
      <c r="A21" s="1">
        <v>9</v>
      </c>
      <c r="B21" s="17" t="s">
        <v>61</v>
      </c>
      <c r="C21" s="17" t="s">
        <v>70</v>
      </c>
      <c r="D21" s="22">
        <v>59</v>
      </c>
      <c r="E21" s="18">
        <v>9</v>
      </c>
      <c r="F21" s="18">
        <v>9</v>
      </c>
      <c r="G21" s="18"/>
      <c r="H21" s="15"/>
      <c r="I21" s="19">
        <f t="shared" si="3"/>
        <v>0</v>
      </c>
      <c r="J21" s="19">
        <f t="shared" ref="J21" si="13">SUM(F21/E21)*100</f>
        <v>100</v>
      </c>
      <c r="K21" s="23">
        <v>9823.5</v>
      </c>
      <c r="L21" s="16">
        <v>700</v>
      </c>
      <c r="M21" s="16">
        <v>700</v>
      </c>
      <c r="N21" s="16">
        <f t="shared" ref="N21" si="14">SUM(M21-K21)</f>
        <v>-9123.5</v>
      </c>
      <c r="O21" s="16">
        <f t="shared" ref="O21" si="15">SUM(M21/K21)*100</f>
        <v>7.1257698376342438</v>
      </c>
      <c r="P21" s="16">
        <f t="shared" ref="P21" si="16">SUM(M21-L21)</f>
        <v>0</v>
      </c>
      <c r="Q21" s="16">
        <f t="shared" ref="Q21" si="17">SUM(M21/L21)*100</f>
        <v>100</v>
      </c>
      <c r="R21" s="66">
        <f t="shared" si="9"/>
        <v>77.777777777777771</v>
      </c>
      <c r="S21" s="66">
        <f t="shared" si="10"/>
        <v>77.777777777777771</v>
      </c>
    </row>
    <row r="22" spans="1:19" s="49" customFormat="1" ht="15.45" x14ac:dyDescent="0.4">
      <c r="A22" s="50" t="s">
        <v>40</v>
      </c>
      <c r="B22" s="51" t="s">
        <v>68</v>
      </c>
      <c r="C22" s="52"/>
      <c r="D22" s="53" t="s">
        <v>41</v>
      </c>
      <c r="E22" s="53" t="s">
        <v>41</v>
      </c>
      <c r="F22" s="53" t="s">
        <v>41</v>
      </c>
      <c r="G22" s="53" t="s">
        <v>41</v>
      </c>
      <c r="H22" s="44" t="s">
        <v>41</v>
      </c>
      <c r="I22" s="44" t="s">
        <v>41</v>
      </c>
      <c r="J22" s="44" t="s">
        <v>41</v>
      </c>
      <c r="K22" s="47">
        <f t="shared" ref="K22" si="18">SUM(K23+K37+K40+K24+K26+K27+K28+K29+K30+K31+K32+K33+K34+K35+K36+K41+K42+K43+K38+K39+K44)</f>
        <v>313224.10000000003</v>
      </c>
      <c r="L22" s="47">
        <f>SUM(L23+L25+L37+L40+L24+L26+L27+L28+L29+L30+L31+L32+L33+L34+L35+L36+L41+L42+L43+L38+L39+L44)</f>
        <v>464677.39999999997</v>
      </c>
      <c r="M22" s="47">
        <f>SUM(M23+M25+M37+M40+M24+M26+M27+M28+M29+M30+M31+M32+M33+M34+M35+M36+M41+M42+M43+M38+M39+M44)</f>
        <v>453021.9</v>
      </c>
      <c r="N22" s="47">
        <f>SUM(M22-K22)</f>
        <v>139797.79999999999</v>
      </c>
      <c r="O22" s="47">
        <f>SUM(M22/K22)*100</f>
        <v>144.63187858150121</v>
      </c>
      <c r="P22" s="47">
        <f>SUM(M22-L22)</f>
        <v>-11655.499999999942</v>
      </c>
      <c r="Q22" s="47">
        <f>SUM(M22/L22)*100</f>
        <v>97.491700693857723</v>
      </c>
      <c r="R22" s="67"/>
      <c r="S22" s="67"/>
    </row>
    <row r="23" spans="1:19" s="13" customFormat="1" ht="15.45" x14ac:dyDescent="0.4">
      <c r="A23" s="54">
        <v>1</v>
      </c>
      <c r="B23" s="24" t="s">
        <v>46</v>
      </c>
      <c r="C23" s="24" t="s">
        <v>13</v>
      </c>
      <c r="D23" s="18">
        <v>17280</v>
      </c>
      <c r="E23" s="18">
        <v>4000</v>
      </c>
      <c r="F23" s="18">
        <v>6345</v>
      </c>
      <c r="G23" s="18">
        <f t="shared" ref="G23:G34" si="19">SUM(F23-D23)</f>
        <v>-10935</v>
      </c>
      <c r="H23" s="15">
        <v>0</v>
      </c>
      <c r="I23" s="19">
        <f t="shared" ref="I23:I33" si="20">SUM(F23-E23)</f>
        <v>2345</v>
      </c>
      <c r="J23" s="19">
        <f t="shared" ref="J23:J34" si="21">SUM(F23/E23)*100</f>
        <v>158.625</v>
      </c>
      <c r="K23" s="16">
        <v>12437.7</v>
      </c>
      <c r="L23" s="16">
        <v>4222.8999999999996</v>
      </c>
      <c r="M23" s="16">
        <v>4594.2</v>
      </c>
      <c r="N23" s="16">
        <f t="shared" ref="N23:N40" si="22">SUM(M23-K23)</f>
        <v>-7843.5000000000009</v>
      </c>
      <c r="O23" s="16">
        <v>0</v>
      </c>
      <c r="P23" s="16">
        <f t="shared" ref="P23:P40" si="23">SUM(M23-L23)</f>
        <v>371.30000000000018</v>
      </c>
      <c r="Q23" s="16">
        <v>0</v>
      </c>
      <c r="R23" s="68">
        <f>L23/E23</f>
        <v>1.0557249999999998</v>
      </c>
      <c r="S23" s="68">
        <f t="shared" ref="S23:S44" si="24">M23/F23</f>
        <v>0.72406619385342785</v>
      </c>
    </row>
    <row r="24" spans="1:19" s="13" customFormat="1" ht="46.3" x14ac:dyDescent="0.4">
      <c r="A24" s="54">
        <v>2</v>
      </c>
      <c r="B24" s="24" t="s">
        <v>45</v>
      </c>
      <c r="C24" s="24" t="s">
        <v>14</v>
      </c>
      <c r="D24" s="18">
        <v>39060</v>
      </c>
      <c r="E24" s="18">
        <v>53000</v>
      </c>
      <c r="F24" s="18">
        <v>90167</v>
      </c>
      <c r="G24" s="18">
        <f t="shared" si="19"/>
        <v>51107</v>
      </c>
      <c r="H24" s="15">
        <v>0</v>
      </c>
      <c r="I24" s="19">
        <f t="shared" si="20"/>
        <v>37167</v>
      </c>
      <c r="J24" s="19">
        <f t="shared" si="21"/>
        <v>170.12641509433962</v>
      </c>
      <c r="K24" s="16">
        <v>26099</v>
      </c>
      <c r="L24" s="16">
        <v>55953.3</v>
      </c>
      <c r="M24" s="16">
        <v>65287.5</v>
      </c>
      <c r="N24" s="16">
        <f t="shared" si="22"/>
        <v>39188.5</v>
      </c>
      <c r="O24" s="16">
        <v>0</v>
      </c>
      <c r="P24" s="16">
        <f t="shared" si="23"/>
        <v>9334.1999999999971</v>
      </c>
      <c r="Q24" s="16">
        <f>SUM(M24/L24)*100</f>
        <v>116.68212598720717</v>
      </c>
      <c r="R24" s="68">
        <f t="shared" ref="R24:R44" si="25">L24/E24</f>
        <v>1.0557226415094341</v>
      </c>
      <c r="S24" s="68">
        <f t="shared" si="24"/>
        <v>0.72407310878702846</v>
      </c>
    </row>
    <row r="25" spans="1:19" s="13" customFormat="1" ht="46.3" x14ac:dyDescent="0.4">
      <c r="A25" s="54">
        <v>3</v>
      </c>
      <c r="B25" s="24" t="s">
        <v>69</v>
      </c>
      <c r="C25" s="24" t="s">
        <v>14</v>
      </c>
      <c r="D25" s="18">
        <v>44043</v>
      </c>
      <c r="E25" s="18">
        <v>4500</v>
      </c>
      <c r="F25" s="18">
        <v>3563</v>
      </c>
      <c r="G25" s="18">
        <f t="shared" si="19"/>
        <v>-40480</v>
      </c>
      <c r="H25" s="15">
        <f t="shared" ref="H25:H34" si="26">SUM(F25/D25)*100</f>
        <v>8.0898213109915318</v>
      </c>
      <c r="I25" s="19">
        <f t="shared" si="20"/>
        <v>-937</v>
      </c>
      <c r="J25" s="19">
        <f t="shared" si="21"/>
        <v>79.177777777777777</v>
      </c>
      <c r="K25" s="16">
        <v>29647.4</v>
      </c>
      <c r="L25" s="16">
        <v>4750.7</v>
      </c>
      <c r="M25" s="16">
        <v>2579.9</v>
      </c>
      <c r="N25" s="16"/>
      <c r="O25" s="16"/>
      <c r="P25" s="16">
        <f t="shared" ref="P25" si="27">SUM(M25-L25)</f>
        <v>-2170.7999999999997</v>
      </c>
      <c r="Q25" s="16">
        <f>SUM(M25/L25)*100</f>
        <v>54.305681268023662</v>
      </c>
      <c r="R25" s="68">
        <f t="shared" ref="R25" si="28">L25/E25</f>
        <v>1.055711111111111</v>
      </c>
      <c r="S25" s="68">
        <f t="shared" ref="S25" si="29">M25/F25</f>
        <v>0.72408083076059504</v>
      </c>
    </row>
    <row r="26" spans="1:19" s="13" customFormat="1" ht="30.9" x14ac:dyDescent="0.4">
      <c r="A26" s="54">
        <v>4</v>
      </c>
      <c r="B26" s="24" t="s">
        <v>15</v>
      </c>
      <c r="C26" s="24" t="s">
        <v>16</v>
      </c>
      <c r="D26" s="18">
        <v>44043</v>
      </c>
      <c r="E26" s="18">
        <f>37400+3200</f>
        <v>40600</v>
      </c>
      <c r="F26" s="18">
        <f>38658+5844</f>
        <v>44502</v>
      </c>
      <c r="G26" s="18">
        <f t="shared" si="19"/>
        <v>459</v>
      </c>
      <c r="H26" s="15">
        <f t="shared" si="26"/>
        <v>101.0421633403719</v>
      </c>
      <c r="I26" s="19">
        <f t="shared" si="20"/>
        <v>3902</v>
      </c>
      <c r="J26" s="19">
        <f t="shared" si="21"/>
        <v>109.61083743842363</v>
      </c>
      <c r="K26" s="16">
        <v>29647.4</v>
      </c>
      <c r="L26" s="16">
        <f>39484+3378.3</f>
        <v>42862.3</v>
      </c>
      <c r="M26" s="16">
        <f>27991.2+4231.5</f>
        <v>32222.7</v>
      </c>
      <c r="N26" s="16">
        <f t="shared" si="22"/>
        <v>2575.2999999999993</v>
      </c>
      <c r="O26" s="16">
        <v>0</v>
      </c>
      <c r="P26" s="16">
        <f t="shared" si="23"/>
        <v>-10639.600000000002</v>
      </c>
      <c r="Q26" s="16">
        <v>0</v>
      </c>
      <c r="R26" s="68">
        <f t="shared" si="25"/>
        <v>1.0557216748768474</v>
      </c>
      <c r="S26" s="68">
        <f t="shared" si="24"/>
        <v>0.72407307536739929</v>
      </c>
    </row>
    <row r="27" spans="1:19" s="13" customFormat="1" ht="30.9" x14ac:dyDescent="0.4">
      <c r="A27" s="54">
        <v>5</v>
      </c>
      <c r="B27" s="24" t="s">
        <v>17</v>
      </c>
      <c r="C27" s="24" t="s">
        <v>18</v>
      </c>
      <c r="D27" s="18">
        <v>105649</v>
      </c>
      <c r="E27" s="18">
        <f>8000+105000+20000</f>
        <v>133000</v>
      </c>
      <c r="F27" s="18">
        <f>11823+106975+27468</f>
        <v>146266</v>
      </c>
      <c r="G27" s="18">
        <f t="shared" si="19"/>
        <v>40617</v>
      </c>
      <c r="H27" s="15">
        <f t="shared" si="26"/>
        <v>138.44522901305265</v>
      </c>
      <c r="I27" s="19">
        <f t="shared" si="20"/>
        <v>13266</v>
      </c>
      <c r="J27" s="19">
        <f t="shared" si="21"/>
        <v>109.97443609022557</v>
      </c>
      <c r="K27" s="16">
        <v>46146.7</v>
      </c>
      <c r="L27" s="16">
        <f>4325.1+56766.6+10812.7</f>
        <v>71904.399999999994</v>
      </c>
      <c r="M27" s="16">
        <f>5692.6+51506.9+13225.5</f>
        <v>70425</v>
      </c>
      <c r="N27" s="16">
        <f t="shared" si="22"/>
        <v>24278.300000000003</v>
      </c>
      <c r="O27" s="16">
        <f t="shared" ref="O27:O38" si="30">SUM(M27/K27)*100</f>
        <v>152.61112928985173</v>
      </c>
      <c r="P27" s="16">
        <f t="shared" si="23"/>
        <v>-1479.3999999999942</v>
      </c>
      <c r="Q27" s="16">
        <f t="shared" ref="Q27:Q40" si="31">SUM(M27/L27)*100</f>
        <v>97.942545935992797</v>
      </c>
      <c r="R27" s="68">
        <f t="shared" si="25"/>
        <v>0.54063458646616536</v>
      </c>
      <c r="S27" s="68">
        <f t="shared" si="24"/>
        <v>0.48148578617040189</v>
      </c>
    </row>
    <row r="28" spans="1:19" s="13" customFormat="1" ht="30.9" x14ac:dyDescent="0.4">
      <c r="A28" s="54">
        <v>6</v>
      </c>
      <c r="B28" s="24" t="s">
        <v>19</v>
      </c>
      <c r="C28" s="24" t="s">
        <v>20</v>
      </c>
      <c r="D28" s="18">
        <v>2419</v>
      </c>
      <c r="E28" s="55">
        <v>3750</v>
      </c>
      <c r="F28" s="55">
        <v>4262</v>
      </c>
      <c r="G28" s="18">
        <f t="shared" si="19"/>
        <v>1843</v>
      </c>
      <c r="H28" s="15">
        <f t="shared" si="26"/>
        <v>176.18850764778836</v>
      </c>
      <c r="I28" s="19">
        <f t="shared" si="20"/>
        <v>512</v>
      </c>
      <c r="J28" s="19">
        <f t="shared" si="21"/>
        <v>113.65333333333334</v>
      </c>
      <c r="K28" s="16">
        <v>1056.5999999999999</v>
      </c>
      <c r="L28" s="16">
        <v>2027.4</v>
      </c>
      <c r="M28" s="16">
        <v>2052.1</v>
      </c>
      <c r="N28" s="16">
        <f t="shared" si="22"/>
        <v>995.5</v>
      </c>
      <c r="O28" s="16">
        <f t="shared" si="30"/>
        <v>194.21730077607421</v>
      </c>
      <c r="P28" s="16">
        <f t="shared" si="23"/>
        <v>24.699999999999818</v>
      </c>
      <c r="Q28" s="16">
        <f t="shared" si="31"/>
        <v>101.21830916444708</v>
      </c>
      <c r="R28" s="68">
        <f t="shared" si="25"/>
        <v>0.54064000000000001</v>
      </c>
      <c r="S28" s="68">
        <f t="shared" si="24"/>
        <v>0.48148756452369779</v>
      </c>
    </row>
    <row r="29" spans="1:19" s="13" customFormat="1" ht="46.3" x14ac:dyDescent="0.4">
      <c r="A29" s="54">
        <v>7</v>
      </c>
      <c r="B29" s="24" t="s">
        <v>42</v>
      </c>
      <c r="C29" s="24" t="s">
        <v>20</v>
      </c>
      <c r="D29" s="18">
        <v>3491</v>
      </c>
      <c r="E29" s="18">
        <v>3530</v>
      </c>
      <c r="F29" s="18">
        <v>3431</v>
      </c>
      <c r="G29" s="18">
        <f t="shared" si="19"/>
        <v>-60</v>
      </c>
      <c r="H29" s="15">
        <f t="shared" si="26"/>
        <v>98.281294757949013</v>
      </c>
      <c r="I29" s="19">
        <f t="shared" si="20"/>
        <v>-99</v>
      </c>
      <c r="J29" s="19">
        <f t="shared" si="21"/>
        <v>97.195467422096314</v>
      </c>
      <c r="K29" s="16">
        <v>1524.8</v>
      </c>
      <c r="L29" s="16">
        <v>1908.4</v>
      </c>
      <c r="M29" s="16">
        <v>1652</v>
      </c>
      <c r="N29" s="16">
        <f t="shared" si="22"/>
        <v>127.20000000000005</v>
      </c>
      <c r="O29" s="16">
        <f t="shared" si="30"/>
        <v>108.34207764952781</v>
      </c>
      <c r="P29" s="16">
        <f t="shared" si="23"/>
        <v>-256.40000000000009</v>
      </c>
      <c r="Q29" s="16">
        <f t="shared" si="31"/>
        <v>86.564661496541603</v>
      </c>
      <c r="R29" s="68">
        <f t="shared" si="25"/>
        <v>0.54062322946175645</v>
      </c>
      <c r="S29" s="68">
        <f t="shared" si="24"/>
        <v>0.48149227630428448</v>
      </c>
    </row>
    <row r="30" spans="1:19" s="13" customFormat="1" ht="30.9" x14ac:dyDescent="0.4">
      <c r="A30" s="54">
        <v>8</v>
      </c>
      <c r="B30" s="24" t="s">
        <v>21</v>
      </c>
      <c r="C30" s="24" t="s">
        <v>22</v>
      </c>
      <c r="D30" s="18">
        <v>13931</v>
      </c>
      <c r="E30" s="18">
        <v>34500</v>
      </c>
      <c r="F30" s="18">
        <v>51185</v>
      </c>
      <c r="G30" s="18">
        <f t="shared" si="19"/>
        <v>37254</v>
      </c>
      <c r="H30" s="15">
        <f t="shared" si="26"/>
        <v>367.41798865838774</v>
      </c>
      <c r="I30" s="19">
        <f t="shared" si="20"/>
        <v>16685</v>
      </c>
      <c r="J30" s="19">
        <f t="shared" si="21"/>
        <v>148.36231884057972</v>
      </c>
      <c r="K30" s="16">
        <v>13838.1</v>
      </c>
      <c r="L30" s="16">
        <f>4279.7+4594.8+10509.4</f>
        <v>19383.900000000001</v>
      </c>
      <c r="M30" s="16">
        <f>4259.3+6442.1+7986.1</f>
        <v>18687.5</v>
      </c>
      <c r="N30" s="16">
        <f t="shared" si="22"/>
        <v>4849.3999999999996</v>
      </c>
      <c r="O30" s="16">
        <f t="shared" si="30"/>
        <v>135.0438282712222</v>
      </c>
      <c r="P30" s="16">
        <f t="shared" si="23"/>
        <v>-696.40000000000146</v>
      </c>
      <c r="Q30" s="16">
        <f t="shared" si="31"/>
        <v>96.407327730745607</v>
      </c>
      <c r="R30" s="68">
        <f t="shared" si="25"/>
        <v>0.56185217391304354</v>
      </c>
      <c r="S30" s="68">
        <f t="shared" si="24"/>
        <v>0.3650971964442708</v>
      </c>
    </row>
    <row r="31" spans="1:19" s="13" customFormat="1" ht="46.3" x14ac:dyDescent="0.4">
      <c r="A31" s="54">
        <v>9</v>
      </c>
      <c r="B31" s="24" t="s">
        <v>23</v>
      </c>
      <c r="C31" s="24" t="s">
        <v>24</v>
      </c>
      <c r="D31" s="18">
        <v>486</v>
      </c>
      <c r="E31" s="18">
        <v>110</v>
      </c>
      <c r="F31" s="18">
        <v>114</v>
      </c>
      <c r="G31" s="18">
        <f t="shared" si="19"/>
        <v>-372</v>
      </c>
      <c r="H31" s="15">
        <f t="shared" si="26"/>
        <v>23.456790123456788</v>
      </c>
      <c r="I31" s="19">
        <f t="shared" si="20"/>
        <v>4</v>
      </c>
      <c r="J31" s="19">
        <f t="shared" si="21"/>
        <v>103.63636363636364</v>
      </c>
      <c r="K31" s="16">
        <v>482.8</v>
      </c>
      <c r="L31" s="16">
        <v>43.2</v>
      </c>
      <c r="M31" s="16">
        <v>58.6</v>
      </c>
      <c r="N31" s="16">
        <f t="shared" si="22"/>
        <v>-424.2</v>
      </c>
      <c r="O31" s="16">
        <f t="shared" si="30"/>
        <v>12.137531068765535</v>
      </c>
      <c r="P31" s="16">
        <f t="shared" si="23"/>
        <v>15.399999999999999</v>
      </c>
      <c r="Q31" s="16">
        <f t="shared" si="31"/>
        <v>135.64814814814815</v>
      </c>
      <c r="R31" s="68">
        <f t="shared" si="25"/>
        <v>0.39272727272727276</v>
      </c>
      <c r="S31" s="68">
        <f t="shared" si="24"/>
        <v>0.51403508771929829</v>
      </c>
    </row>
    <row r="32" spans="1:19" s="13" customFormat="1" ht="30.9" x14ac:dyDescent="0.4">
      <c r="A32" s="54">
        <v>10</v>
      </c>
      <c r="B32" s="24" t="s">
        <v>25</v>
      </c>
      <c r="C32" s="24" t="s">
        <v>26</v>
      </c>
      <c r="D32" s="18">
        <v>32</v>
      </c>
      <c r="E32" s="18">
        <v>40</v>
      </c>
      <c r="F32" s="18">
        <v>57</v>
      </c>
      <c r="G32" s="18">
        <f t="shared" si="19"/>
        <v>25</v>
      </c>
      <c r="H32" s="15">
        <f t="shared" si="26"/>
        <v>178.125</v>
      </c>
      <c r="I32" s="19">
        <f t="shared" si="20"/>
        <v>17</v>
      </c>
      <c r="J32" s="19">
        <f t="shared" si="21"/>
        <v>142.5</v>
      </c>
      <c r="K32" s="16">
        <v>31.8</v>
      </c>
      <c r="L32" s="16">
        <f>17.4+4.2</f>
        <v>21.599999999999998</v>
      </c>
      <c r="M32" s="16">
        <f>16.5+5.3</f>
        <v>21.8</v>
      </c>
      <c r="N32" s="16">
        <f t="shared" si="22"/>
        <v>-10</v>
      </c>
      <c r="O32" s="16">
        <f t="shared" si="30"/>
        <v>68.55345911949685</v>
      </c>
      <c r="P32" s="16">
        <f t="shared" si="23"/>
        <v>0.20000000000000284</v>
      </c>
      <c r="Q32" s="16">
        <f t="shared" si="31"/>
        <v>100.92592592592592</v>
      </c>
      <c r="R32" s="68">
        <f t="shared" si="25"/>
        <v>0.53999999999999992</v>
      </c>
      <c r="S32" s="68">
        <f t="shared" si="24"/>
        <v>0.38245614035087722</v>
      </c>
    </row>
    <row r="33" spans="1:19" s="13" customFormat="1" ht="30.9" x14ac:dyDescent="0.4">
      <c r="A33" s="54">
        <v>11</v>
      </c>
      <c r="B33" s="24" t="s">
        <v>27</v>
      </c>
      <c r="C33" s="24" t="s">
        <v>28</v>
      </c>
      <c r="D33" s="18">
        <v>186</v>
      </c>
      <c r="E33" s="18">
        <f>17+9+10+35+40+74</f>
        <v>185</v>
      </c>
      <c r="F33" s="18">
        <f>17+9+9+34+39+82</f>
        <v>190</v>
      </c>
      <c r="G33" s="18">
        <f t="shared" si="19"/>
        <v>4</v>
      </c>
      <c r="H33" s="15">
        <f t="shared" si="26"/>
        <v>102.15053763440861</v>
      </c>
      <c r="I33" s="19">
        <f t="shared" si="20"/>
        <v>5</v>
      </c>
      <c r="J33" s="19">
        <f t="shared" si="21"/>
        <v>102.70270270270269</v>
      </c>
      <c r="K33" s="16">
        <v>46159</v>
      </c>
      <c r="L33" s="16">
        <f>10823.2+5729.9+6366.6+22283.1+12963.7+23982.7</f>
        <v>82149.2</v>
      </c>
      <c r="M33" s="16">
        <f>11017.7+5832.9+5832.9+22035.4+11612.2+24415.3</f>
        <v>80746.400000000009</v>
      </c>
      <c r="N33" s="16">
        <f t="shared" si="22"/>
        <v>34587.400000000009</v>
      </c>
      <c r="O33" s="16">
        <f t="shared" si="30"/>
        <v>174.93099937173685</v>
      </c>
      <c r="P33" s="16">
        <f t="shared" si="23"/>
        <v>-1402.7999999999884</v>
      </c>
      <c r="Q33" s="16">
        <f t="shared" si="31"/>
        <v>98.292375336582722</v>
      </c>
      <c r="R33" s="68">
        <f t="shared" si="25"/>
        <v>444.04972972972973</v>
      </c>
      <c r="S33" s="68">
        <f t="shared" si="24"/>
        <v>424.98105263157902</v>
      </c>
    </row>
    <row r="34" spans="1:19" s="13" customFormat="1" ht="30.9" x14ac:dyDescent="0.4">
      <c r="A34" s="54">
        <v>12</v>
      </c>
      <c r="B34" s="24" t="s">
        <v>29</v>
      </c>
      <c r="C34" s="24" t="s">
        <v>28</v>
      </c>
      <c r="D34" s="18">
        <v>54</v>
      </c>
      <c r="E34" s="18">
        <f>5+16</f>
        <v>21</v>
      </c>
      <c r="F34" s="18">
        <f>4+16</f>
        <v>20</v>
      </c>
      <c r="G34" s="18">
        <f t="shared" si="19"/>
        <v>-34</v>
      </c>
      <c r="H34" s="15">
        <f t="shared" si="26"/>
        <v>37.037037037037038</v>
      </c>
      <c r="I34" s="19">
        <f>SUM(F34-E34)</f>
        <v>-1</v>
      </c>
      <c r="J34" s="19">
        <f t="shared" si="21"/>
        <v>95.238095238095227</v>
      </c>
      <c r="K34" s="16">
        <v>15306.6</v>
      </c>
      <c r="L34" s="16">
        <f>3183.3+5185.5</f>
        <v>8368.7999999999993</v>
      </c>
      <c r="M34" s="16">
        <v>7356.4</v>
      </c>
      <c r="N34" s="16">
        <f t="shared" si="22"/>
        <v>-7950.2000000000007</v>
      </c>
      <c r="O34" s="16">
        <f t="shared" si="30"/>
        <v>48.060313851541167</v>
      </c>
      <c r="P34" s="16">
        <f t="shared" si="23"/>
        <v>-1012.3999999999996</v>
      </c>
      <c r="Q34" s="16">
        <f t="shared" si="31"/>
        <v>87.902686167670396</v>
      </c>
      <c r="R34" s="68">
        <f t="shared" si="25"/>
        <v>398.51428571428568</v>
      </c>
      <c r="S34" s="68">
        <f t="shared" si="24"/>
        <v>367.82</v>
      </c>
    </row>
    <row r="35" spans="1:19" s="13" customFormat="1" ht="30.9" hidden="1" x14ac:dyDescent="0.4">
      <c r="A35" s="35">
        <v>12</v>
      </c>
      <c r="B35" s="34" t="s">
        <v>30</v>
      </c>
      <c r="C35" s="34" t="s">
        <v>28</v>
      </c>
      <c r="D35" s="36">
        <v>0</v>
      </c>
      <c r="E35" s="36"/>
      <c r="F35" s="36"/>
      <c r="G35" s="36">
        <f t="shared" ref="G35:G44" si="32">SUM(F35-D35)</f>
        <v>0</v>
      </c>
      <c r="H35" s="37" t="e">
        <f t="shared" ref="H35:H39" si="33">SUM(F35/D35)*100</f>
        <v>#DIV/0!</v>
      </c>
      <c r="I35" s="38">
        <f t="shared" ref="I35:I40" si="34">SUM(F35-E35)</f>
        <v>0</v>
      </c>
      <c r="J35" s="38" t="e">
        <f t="shared" ref="J35:J40" si="35">SUM(F35/E35)*100</f>
        <v>#DIV/0!</v>
      </c>
      <c r="K35" s="39">
        <v>0</v>
      </c>
      <c r="L35" s="39"/>
      <c r="M35" s="39"/>
      <c r="N35" s="39">
        <f t="shared" si="22"/>
        <v>0</v>
      </c>
      <c r="O35" s="39" t="e">
        <f t="shared" si="30"/>
        <v>#DIV/0!</v>
      </c>
      <c r="P35" s="39">
        <f t="shared" si="23"/>
        <v>0</v>
      </c>
      <c r="Q35" s="39" t="e">
        <f t="shared" si="31"/>
        <v>#DIV/0!</v>
      </c>
      <c r="R35" s="68" t="e">
        <f t="shared" si="25"/>
        <v>#DIV/0!</v>
      </c>
      <c r="S35" s="68" t="e">
        <f t="shared" si="24"/>
        <v>#DIV/0!</v>
      </c>
    </row>
    <row r="36" spans="1:19" s="13" customFormat="1" ht="123.45" x14ac:dyDescent="0.4">
      <c r="A36" s="54">
        <v>13</v>
      </c>
      <c r="B36" s="24" t="s">
        <v>65</v>
      </c>
      <c r="C36" s="24" t="s">
        <v>31</v>
      </c>
      <c r="D36" s="18">
        <v>647</v>
      </c>
      <c r="E36" s="18">
        <v>574</v>
      </c>
      <c r="F36" s="18">
        <v>574</v>
      </c>
      <c r="G36" s="18">
        <f t="shared" si="32"/>
        <v>-73</v>
      </c>
      <c r="H36" s="15">
        <f t="shared" si="33"/>
        <v>88.717156105100457</v>
      </c>
      <c r="I36" s="19">
        <f t="shared" si="34"/>
        <v>0</v>
      </c>
      <c r="J36" s="19">
        <f t="shared" si="35"/>
        <v>100</v>
      </c>
      <c r="K36" s="16">
        <v>28622</v>
      </c>
      <c r="L36" s="16">
        <v>98241.7</v>
      </c>
      <c r="M36" s="16">
        <v>95160.6</v>
      </c>
      <c r="N36" s="16">
        <f t="shared" si="22"/>
        <v>66538.600000000006</v>
      </c>
      <c r="O36" s="16">
        <f t="shared" si="30"/>
        <v>332.47362168960939</v>
      </c>
      <c r="P36" s="16">
        <f t="shared" si="23"/>
        <v>-3081.0999999999913</v>
      </c>
      <c r="Q36" s="16">
        <f t="shared" si="31"/>
        <v>96.863755411398628</v>
      </c>
      <c r="R36" s="68">
        <f t="shared" si="25"/>
        <v>171.15278745644599</v>
      </c>
      <c r="S36" s="68">
        <f t="shared" si="24"/>
        <v>165.78501742160279</v>
      </c>
    </row>
    <row r="37" spans="1:19" s="13" customFormat="1" ht="123.45" x14ac:dyDescent="0.4">
      <c r="A37" s="54">
        <v>14</v>
      </c>
      <c r="B37" s="24" t="s">
        <v>66</v>
      </c>
      <c r="C37" s="24" t="s">
        <v>31</v>
      </c>
      <c r="D37" s="18">
        <v>46</v>
      </c>
      <c r="E37" s="18">
        <v>48</v>
      </c>
      <c r="F37" s="18">
        <v>48</v>
      </c>
      <c r="G37" s="18">
        <f t="shared" si="32"/>
        <v>2</v>
      </c>
      <c r="H37" s="15">
        <f t="shared" si="33"/>
        <v>104.34782608695652</v>
      </c>
      <c r="I37" s="19">
        <f t="shared" si="34"/>
        <v>0</v>
      </c>
      <c r="J37" s="19">
        <f t="shared" si="35"/>
        <v>100</v>
      </c>
      <c r="K37" s="16">
        <v>2035</v>
      </c>
      <c r="L37" s="16">
        <v>8215.2999999999993</v>
      </c>
      <c r="M37" s="16">
        <v>7957.7</v>
      </c>
      <c r="N37" s="16">
        <f t="shared" si="22"/>
        <v>5922.7</v>
      </c>
      <c r="O37" s="16">
        <f t="shared" si="30"/>
        <v>391.04176904176904</v>
      </c>
      <c r="P37" s="16">
        <f t="shared" si="23"/>
        <v>-257.59999999999945</v>
      </c>
      <c r="Q37" s="16">
        <f t="shared" si="31"/>
        <v>96.864387180017772</v>
      </c>
      <c r="R37" s="68">
        <f t="shared" si="25"/>
        <v>171.15208333333331</v>
      </c>
      <c r="S37" s="68">
        <f t="shared" si="24"/>
        <v>165.78541666666666</v>
      </c>
    </row>
    <row r="38" spans="1:19" s="13" customFormat="1" ht="30.9" x14ac:dyDescent="0.4">
      <c r="A38" s="54">
        <v>15</v>
      </c>
      <c r="B38" s="24" t="s">
        <v>62</v>
      </c>
      <c r="C38" s="24" t="s">
        <v>28</v>
      </c>
      <c r="D38" s="18">
        <v>967</v>
      </c>
      <c r="E38" s="18">
        <v>14965</v>
      </c>
      <c r="F38" s="18">
        <v>14965</v>
      </c>
      <c r="G38" s="18">
        <f>SUM(F38-D38)</f>
        <v>13998</v>
      </c>
      <c r="H38" s="15">
        <f t="shared" si="33"/>
        <v>1547.569803516029</v>
      </c>
      <c r="I38" s="19">
        <f t="shared" si="34"/>
        <v>0</v>
      </c>
      <c r="J38" s="19">
        <v>0</v>
      </c>
      <c r="K38" s="16">
        <v>42468.5</v>
      </c>
      <c r="L38" s="16">
        <v>9257.1</v>
      </c>
      <c r="M38" s="16">
        <v>8966.7999999999993</v>
      </c>
      <c r="N38" s="16">
        <f t="shared" si="22"/>
        <v>-33501.699999999997</v>
      </c>
      <c r="O38" s="16">
        <f t="shared" si="30"/>
        <v>21.114002142764633</v>
      </c>
      <c r="P38" s="16">
        <f t="shared" si="23"/>
        <v>-290.30000000000109</v>
      </c>
      <c r="Q38" s="16">
        <f t="shared" si="31"/>
        <v>96.864028691490844</v>
      </c>
      <c r="R38" s="68">
        <f t="shared" si="25"/>
        <v>0.61858336117607748</v>
      </c>
      <c r="S38" s="68">
        <f t="shared" si="24"/>
        <v>0.59918476445038416</v>
      </c>
    </row>
    <row r="39" spans="1:19" s="13" customFormat="1" ht="30.9" hidden="1" x14ac:dyDescent="0.4">
      <c r="A39" s="54">
        <v>15</v>
      </c>
      <c r="B39" s="24" t="s">
        <v>0</v>
      </c>
      <c r="C39" s="24" t="s">
        <v>35</v>
      </c>
      <c r="D39" s="18">
        <v>0</v>
      </c>
      <c r="E39" s="18"/>
      <c r="F39" s="18"/>
      <c r="G39" s="18">
        <f>SUM(F39-D39)</f>
        <v>0</v>
      </c>
      <c r="H39" s="15" t="e">
        <f t="shared" si="33"/>
        <v>#DIV/0!</v>
      </c>
      <c r="I39" s="19">
        <f>SUM(F39-E39)</f>
        <v>0</v>
      </c>
      <c r="J39" s="19" t="e">
        <f>SUM(F39/E39)*100</f>
        <v>#DIV/0!</v>
      </c>
      <c r="K39" s="16">
        <v>0</v>
      </c>
      <c r="L39" s="16"/>
      <c r="M39" s="16"/>
      <c r="N39" s="16">
        <f>SUM(M39-K39)</f>
        <v>0</v>
      </c>
      <c r="O39" s="16" t="e">
        <f>SUM(M39/K39)*100</f>
        <v>#DIV/0!</v>
      </c>
      <c r="P39" s="16">
        <f>SUM(M39-L39)</f>
        <v>0</v>
      </c>
      <c r="Q39" s="16" t="e">
        <f>SUM(M39/L39)*100</f>
        <v>#DIV/0!</v>
      </c>
      <c r="R39" s="68" t="e">
        <f t="shared" si="25"/>
        <v>#DIV/0!</v>
      </c>
      <c r="S39" s="68" t="e">
        <f t="shared" si="24"/>
        <v>#DIV/0!</v>
      </c>
    </row>
    <row r="40" spans="1:19" s="13" customFormat="1" ht="30.9" hidden="1" x14ac:dyDescent="0.4">
      <c r="A40" s="54">
        <v>15</v>
      </c>
      <c r="B40" s="24" t="s">
        <v>47</v>
      </c>
      <c r="C40" s="24" t="s">
        <v>48</v>
      </c>
      <c r="D40" s="18">
        <v>145</v>
      </c>
      <c r="E40" s="18"/>
      <c r="F40" s="18"/>
      <c r="G40" s="18">
        <f t="shared" si="32"/>
        <v>-145</v>
      </c>
      <c r="H40" s="15">
        <v>0</v>
      </c>
      <c r="I40" s="19">
        <f t="shared" si="34"/>
        <v>0</v>
      </c>
      <c r="J40" s="19" t="e">
        <f t="shared" si="35"/>
        <v>#DIV/0!</v>
      </c>
      <c r="K40" s="16">
        <v>6414.5</v>
      </c>
      <c r="L40" s="16"/>
      <c r="M40" s="16"/>
      <c r="N40" s="16">
        <f t="shared" si="22"/>
        <v>-6414.5</v>
      </c>
      <c r="O40" s="16">
        <v>0</v>
      </c>
      <c r="P40" s="16">
        <f t="shared" si="23"/>
        <v>0</v>
      </c>
      <c r="Q40" s="16" t="e">
        <f t="shared" si="31"/>
        <v>#DIV/0!</v>
      </c>
      <c r="R40" s="68" t="e">
        <f t="shared" si="25"/>
        <v>#DIV/0!</v>
      </c>
      <c r="S40" s="68" t="e">
        <f t="shared" si="24"/>
        <v>#DIV/0!</v>
      </c>
    </row>
    <row r="41" spans="1:19" s="13" customFormat="1" ht="30.9" x14ac:dyDescent="0.4">
      <c r="A41" s="61">
        <v>16</v>
      </c>
      <c r="B41" s="60" t="s">
        <v>32</v>
      </c>
      <c r="C41" s="24" t="s">
        <v>28</v>
      </c>
      <c r="D41" s="18">
        <v>122000</v>
      </c>
      <c r="E41" s="18">
        <v>81359</v>
      </c>
      <c r="F41" s="18">
        <v>80500</v>
      </c>
      <c r="G41" s="18">
        <f t="shared" si="32"/>
        <v>-41500</v>
      </c>
      <c r="H41" s="15">
        <f t="shared" ref="H41:H44" si="36">SUM(F41/D41)*100</f>
        <v>65.983606557377044</v>
      </c>
      <c r="I41" s="19">
        <f>SUM(F41-E41)</f>
        <v>-859</v>
      </c>
      <c r="J41" s="19">
        <f>SUM(F41/E41)*100</f>
        <v>98.944185646332912</v>
      </c>
      <c r="K41" s="16">
        <v>37340.9</v>
      </c>
      <c r="L41" s="16">
        <v>42963.6</v>
      </c>
      <c r="M41" s="16">
        <v>43068.9</v>
      </c>
      <c r="N41" s="16">
        <f>SUM(M41-K41)</f>
        <v>5728</v>
      </c>
      <c r="O41" s="16">
        <f t="shared" ref="O41:O44" si="37">SUM(M41/K41)*100</f>
        <v>115.33974810462522</v>
      </c>
      <c r="P41" s="16">
        <f>SUM(M41-L41)</f>
        <v>105.30000000000291</v>
      </c>
      <c r="Q41" s="16">
        <f>SUM(M41/L41)*100</f>
        <v>100.24509119347542</v>
      </c>
      <c r="R41" s="68">
        <f t="shared" si="25"/>
        <v>0.52807433719686814</v>
      </c>
      <c r="S41" s="68">
        <f t="shared" si="24"/>
        <v>0.53501739130434789</v>
      </c>
    </row>
    <row r="42" spans="1:19" s="13" customFormat="1" ht="15.45" x14ac:dyDescent="0.4">
      <c r="A42" s="61"/>
      <c r="B42" s="60"/>
      <c r="C42" s="24" t="s">
        <v>37</v>
      </c>
      <c r="D42" s="18">
        <v>600000</v>
      </c>
      <c r="E42" s="18">
        <v>2206.4</v>
      </c>
      <c r="F42" s="18">
        <v>2206.4</v>
      </c>
      <c r="G42" s="18">
        <f t="shared" si="32"/>
        <v>-597793.6</v>
      </c>
      <c r="H42" s="15">
        <f t="shared" si="36"/>
        <v>0.36773333333333336</v>
      </c>
      <c r="I42" s="19">
        <f t="shared" ref="I42:I46" si="38">SUM(F42-E42)</f>
        <v>0</v>
      </c>
      <c r="J42" s="19">
        <f t="shared" ref="J42" si="39">SUM(F42/E42)*100</f>
        <v>100</v>
      </c>
      <c r="K42" s="16">
        <v>1560</v>
      </c>
      <c r="L42" s="16">
        <v>4633.5</v>
      </c>
      <c r="M42" s="16">
        <v>4633.5</v>
      </c>
      <c r="N42" s="16">
        <f t="shared" ref="N42:N44" si="40">SUM(M42-K42)</f>
        <v>3073.5</v>
      </c>
      <c r="O42" s="16">
        <f t="shared" si="37"/>
        <v>297.01923076923077</v>
      </c>
      <c r="P42" s="16">
        <f t="shared" ref="P42:P44" si="41">SUM(M42-L42)</f>
        <v>0</v>
      </c>
      <c r="Q42" s="16">
        <f t="shared" ref="Q42:Q44" si="42">SUM(M42/L42)*100</f>
        <v>100</v>
      </c>
      <c r="R42" s="68">
        <f t="shared" si="25"/>
        <v>2.1000271936185642</v>
      </c>
      <c r="S42" s="68">
        <f t="shared" si="24"/>
        <v>2.1000271936185642</v>
      </c>
    </row>
    <row r="43" spans="1:19" s="13" customFormat="1" ht="46.3" x14ac:dyDescent="0.4">
      <c r="A43" s="54">
        <v>17</v>
      </c>
      <c r="B43" s="24" t="s">
        <v>33</v>
      </c>
      <c r="C43" s="24" t="s">
        <v>34</v>
      </c>
      <c r="D43" s="18">
        <v>40</v>
      </c>
      <c r="E43" s="18">
        <v>69</v>
      </c>
      <c r="F43" s="18">
        <v>66</v>
      </c>
      <c r="G43" s="18">
        <f t="shared" si="32"/>
        <v>26</v>
      </c>
      <c r="H43" s="15">
        <f t="shared" si="36"/>
        <v>165</v>
      </c>
      <c r="I43" s="19">
        <f t="shared" si="38"/>
        <v>-3</v>
      </c>
      <c r="J43" s="19">
        <f>SUM(F43/E43)*100</f>
        <v>95.652173913043484</v>
      </c>
      <c r="K43" s="16">
        <v>1108.4000000000001</v>
      </c>
      <c r="L43" s="16">
        <v>5052.8999999999996</v>
      </c>
      <c r="M43" s="16">
        <v>4833.1000000000004</v>
      </c>
      <c r="N43" s="16">
        <f t="shared" si="40"/>
        <v>3724.7000000000003</v>
      </c>
      <c r="O43" s="16">
        <f t="shared" si="37"/>
        <v>436.04294478527612</v>
      </c>
      <c r="P43" s="16">
        <f t="shared" si="41"/>
        <v>-219.79999999999927</v>
      </c>
      <c r="Q43" s="16">
        <f t="shared" si="42"/>
        <v>95.650022759207602</v>
      </c>
      <c r="R43" s="68">
        <f t="shared" si="25"/>
        <v>73.230434782608697</v>
      </c>
      <c r="S43" s="68">
        <f t="shared" si="24"/>
        <v>73.228787878787884</v>
      </c>
    </row>
    <row r="44" spans="1:19" s="13" customFormat="1" ht="46.3" x14ac:dyDescent="0.4">
      <c r="A44" s="56">
        <v>18</v>
      </c>
      <c r="B44" s="24" t="s">
        <v>44</v>
      </c>
      <c r="C44" s="24" t="s">
        <v>34</v>
      </c>
      <c r="D44" s="27">
        <v>118</v>
      </c>
      <c r="E44" s="27">
        <v>84</v>
      </c>
      <c r="F44" s="27">
        <v>84</v>
      </c>
      <c r="G44" s="27">
        <f t="shared" si="32"/>
        <v>-34</v>
      </c>
      <c r="H44" s="15">
        <f t="shared" si="36"/>
        <v>71.186440677966104</v>
      </c>
      <c r="I44" s="27">
        <f t="shared" si="38"/>
        <v>0</v>
      </c>
      <c r="J44" s="19">
        <f>SUM(F44/E44)*100</f>
        <v>100</v>
      </c>
      <c r="K44" s="27">
        <v>944.3</v>
      </c>
      <c r="L44" s="71">
        <v>2717.2</v>
      </c>
      <c r="M44" s="71">
        <v>2717.2</v>
      </c>
      <c r="N44" s="16">
        <f t="shared" si="40"/>
        <v>1772.8999999999999</v>
      </c>
      <c r="O44" s="16">
        <f t="shared" si="37"/>
        <v>287.74753785873133</v>
      </c>
      <c r="P44" s="16">
        <f t="shared" si="41"/>
        <v>0</v>
      </c>
      <c r="Q44" s="16">
        <f t="shared" si="42"/>
        <v>100</v>
      </c>
      <c r="R44" s="68">
        <f t="shared" si="25"/>
        <v>32.347619047619048</v>
      </c>
      <c r="S44" s="68">
        <f t="shared" si="24"/>
        <v>32.347619047619048</v>
      </c>
    </row>
    <row r="45" spans="1:19" s="49" customFormat="1" ht="15.45" x14ac:dyDescent="0.4">
      <c r="A45" s="50" t="s">
        <v>50</v>
      </c>
      <c r="B45" s="51" t="s">
        <v>51</v>
      </c>
      <c r="C45" s="52"/>
      <c r="D45" s="53" t="s">
        <v>41</v>
      </c>
      <c r="E45" s="53" t="s">
        <v>41</v>
      </c>
      <c r="F45" s="53" t="s">
        <v>41</v>
      </c>
      <c r="G45" s="53" t="s">
        <v>41</v>
      </c>
      <c r="H45" s="44" t="s">
        <v>41</v>
      </c>
      <c r="I45" s="44" t="s">
        <v>41</v>
      </c>
      <c r="J45" s="44" t="s">
        <v>41</v>
      </c>
      <c r="K45" s="47">
        <f t="shared" ref="K45:M45" si="43">SUM(K46+K59+K62+K47+K48+K49+K50+K51+K52+K53+K54+K55+K56+K57+K58+K63+K64+K65+K60+K61+K66)</f>
        <v>0</v>
      </c>
      <c r="L45" s="47">
        <f t="shared" si="43"/>
        <v>16751.099999999999</v>
      </c>
      <c r="M45" s="47">
        <f t="shared" si="43"/>
        <v>15632.7</v>
      </c>
      <c r="N45" s="47">
        <f>SUM(M45-K45)</f>
        <v>15632.7</v>
      </c>
      <c r="O45" s="47" t="e">
        <f t="shared" ref="O45:O46" si="44">SUM(M45/K45)*100</f>
        <v>#DIV/0!</v>
      </c>
      <c r="P45" s="47">
        <f>SUM(M45-L45)</f>
        <v>-1118.3999999999978</v>
      </c>
      <c r="Q45" s="47">
        <f>SUM(M45/L45)*100</f>
        <v>93.323423536364785</v>
      </c>
      <c r="R45" s="67"/>
      <c r="S45" s="67"/>
    </row>
    <row r="46" spans="1:19" ht="32.25" customHeight="1" x14ac:dyDescent="0.4">
      <c r="A46" s="56">
        <v>1</v>
      </c>
      <c r="B46" s="24" t="s">
        <v>53</v>
      </c>
      <c r="C46" s="25" t="s">
        <v>55</v>
      </c>
      <c r="D46" s="26">
        <v>0</v>
      </c>
      <c r="E46" s="33">
        <v>1316908</v>
      </c>
      <c r="F46" s="33">
        <v>1316908</v>
      </c>
      <c r="G46" s="30"/>
      <c r="H46" s="31"/>
      <c r="I46" s="33">
        <f t="shared" si="38"/>
        <v>0</v>
      </c>
      <c r="J46" s="32">
        <f>SUM(F46/E46)*100</f>
        <v>100</v>
      </c>
      <c r="K46" s="30">
        <v>0</v>
      </c>
      <c r="L46" s="71">
        <v>16751.099999999999</v>
      </c>
      <c r="M46" s="71">
        <v>15632.7</v>
      </c>
      <c r="N46" s="70">
        <f t="shared" ref="N46" si="45">SUM(M46-K46)</f>
        <v>15632.7</v>
      </c>
      <c r="O46" s="70" t="e">
        <f t="shared" si="44"/>
        <v>#DIV/0!</v>
      </c>
      <c r="P46" s="16">
        <f t="shared" ref="P46" si="46">SUM(M46-L46)</f>
        <v>-1118.3999999999978</v>
      </c>
      <c r="Q46" s="16">
        <f t="shared" ref="Q46" si="47">SUM(M46/L46)*100</f>
        <v>93.323423536364785</v>
      </c>
      <c r="R46" s="69">
        <f>L46/E46</f>
        <v>1.2720022962879714E-2</v>
      </c>
      <c r="S46" s="69">
        <v>1.2720022962879714E-2</v>
      </c>
    </row>
    <row r="47" spans="1:19" ht="15.45" x14ac:dyDescent="0.4">
      <c r="B47" s="2"/>
      <c r="C47" s="2"/>
      <c r="D47" s="7"/>
    </row>
    <row r="48" spans="1:19" ht="15.45" x14ac:dyDescent="0.4">
      <c r="B48" s="8"/>
      <c r="C48" s="8"/>
      <c r="D48" s="9"/>
    </row>
    <row r="49" spans="2:4" ht="15.45" x14ac:dyDescent="0.4">
      <c r="B49" s="10"/>
      <c r="C49" s="10"/>
      <c r="D49" s="10"/>
    </row>
  </sheetData>
  <mergeCells count="13">
    <mergeCell ref="R7:R9"/>
    <mergeCell ref="S7:S9"/>
    <mergeCell ref="N1:R1"/>
    <mergeCell ref="B41:B42"/>
    <mergeCell ref="A41:A42"/>
    <mergeCell ref="A5:Q5"/>
    <mergeCell ref="G8:J8"/>
    <mergeCell ref="D7:J7"/>
    <mergeCell ref="A7:A9"/>
    <mergeCell ref="K7:Q7"/>
    <mergeCell ref="C7:C9"/>
    <mergeCell ref="B7:B9"/>
    <mergeCell ref="N8:Q8"/>
  </mergeCells>
  <pageMargins left="0.19685039370078741" right="0.19685039370078741" top="0.19685039370078741" bottom="0.19685039370078741" header="0.31496062992125984" footer="0.31496062992125984"/>
  <pageSetup paperSize="9" scale="6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2025-03-27T22:38:30Z</dcterms:modified>
</cp:coreProperties>
</file>