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для размещения на сайте" sheetId="1" r:id="rId1"/>
  </sheets>
  <calcPr calcId="181029"/>
</workbook>
</file>

<file path=xl/calcChain.xml><?xml version="1.0" encoding="utf-8"?>
<calcChain xmlns="http://schemas.openxmlformats.org/spreadsheetml/2006/main">
  <c r="M31" i="1" l="1"/>
  <c r="M30" i="1"/>
  <c r="M29" i="1"/>
  <c r="M27" i="1"/>
  <c r="M24" i="1"/>
  <c r="L27" i="1"/>
  <c r="M23" i="1"/>
  <c r="M22" i="1"/>
  <c r="L31" i="1" l="1"/>
  <c r="L30" i="1"/>
  <c r="F30" i="1"/>
  <c r="E30" i="1"/>
  <c r="F31" i="1"/>
  <c r="E31" i="1"/>
  <c r="L29" i="1"/>
  <c r="F29" i="1"/>
  <c r="E29" i="1"/>
  <c r="F27" i="1"/>
  <c r="E27" i="1"/>
  <c r="L24" i="1"/>
  <c r="F24" i="1"/>
  <c r="E24" i="1"/>
  <c r="L23" i="1"/>
  <c r="F23" i="1"/>
  <c r="E23" i="1"/>
  <c r="L22" i="1"/>
  <c r="F22" i="1"/>
  <c r="E22" i="1"/>
  <c r="H19" i="1"/>
  <c r="G43" i="1" l="1"/>
  <c r="Q43" i="1"/>
  <c r="P43" i="1"/>
  <c r="O43" i="1"/>
  <c r="N43" i="1"/>
  <c r="H43" i="1"/>
  <c r="E43" i="1"/>
  <c r="J43" i="1" s="1"/>
  <c r="I43" i="1" l="1"/>
  <c r="M42" i="1"/>
  <c r="L42" i="1"/>
  <c r="K42" i="1"/>
  <c r="K20" i="1"/>
  <c r="K10" i="1"/>
  <c r="K9" i="1" l="1"/>
  <c r="P42" i="1"/>
  <c r="O42" i="1"/>
  <c r="Q42" i="1"/>
  <c r="N42" i="1"/>
  <c r="L10" i="1"/>
  <c r="M10" i="1"/>
  <c r="Q19" i="1"/>
  <c r="P19" i="1"/>
  <c r="O19" i="1"/>
  <c r="N19" i="1"/>
  <c r="J19" i="1"/>
  <c r="I19" i="1"/>
  <c r="G19" i="1"/>
  <c r="J41" i="1" l="1"/>
  <c r="J40" i="1"/>
  <c r="H41" i="1"/>
  <c r="L20" i="1"/>
  <c r="M20" i="1"/>
  <c r="O20" i="1" s="1"/>
  <c r="G34" i="1"/>
  <c r="H34" i="1"/>
  <c r="I34" i="1"/>
  <c r="J34" i="1"/>
  <c r="N34" i="1"/>
  <c r="O34" i="1"/>
  <c r="P34" i="1"/>
  <c r="Q34" i="1"/>
  <c r="N11" i="1" l="1"/>
  <c r="I11" i="1"/>
  <c r="G11" i="1"/>
  <c r="O41" i="1" l="1"/>
  <c r="N41" i="1"/>
  <c r="O39" i="1"/>
  <c r="O40" i="1"/>
  <c r="P41" i="1"/>
  <c r="Q41" i="1"/>
  <c r="G41" i="1"/>
  <c r="I41" i="1"/>
  <c r="G23" i="1"/>
  <c r="J23" i="1" l="1"/>
  <c r="I23" i="1"/>
  <c r="H23" i="1"/>
  <c r="H40" i="1" l="1"/>
  <c r="Q11" i="1" l="1"/>
  <c r="P11" i="1"/>
  <c r="O11" i="1"/>
  <c r="J11" i="1"/>
  <c r="H11" i="1"/>
  <c r="N35" i="1" l="1"/>
  <c r="O35" i="1"/>
  <c r="P35" i="1"/>
  <c r="G35" i="1"/>
  <c r="H35" i="1"/>
  <c r="I35" i="1"/>
  <c r="Q36" i="1"/>
  <c r="P36" i="1"/>
  <c r="O36" i="1"/>
  <c r="N36" i="1"/>
  <c r="Q33" i="1"/>
  <c r="P33" i="1"/>
  <c r="O33" i="1"/>
  <c r="N33" i="1"/>
  <c r="Q32" i="1"/>
  <c r="P32" i="1"/>
  <c r="O32" i="1"/>
  <c r="N32" i="1"/>
  <c r="Q31" i="1"/>
  <c r="P31" i="1"/>
  <c r="O31" i="1"/>
  <c r="N31" i="1"/>
  <c r="Q30" i="1"/>
  <c r="P30" i="1"/>
  <c r="O30" i="1"/>
  <c r="N30" i="1"/>
  <c r="Q29" i="1"/>
  <c r="P29" i="1"/>
  <c r="O29" i="1"/>
  <c r="N29" i="1"/>
  <c r="Q28" i="1"/>
  <c r="P28" i="1"/>
  <c r="O28" i="1"/>
  <c r="N28" i="1"/>
  <c r="Q27" i="1"/>
  <c r="P27" i="1"/>
  <c r="O27" i="1"/>
  <c r="N27" i="1"/>
  <c r="Q26" i="1"/>
  <c r="P26" i="1"/>
  <c r="O26" i="1"/>
  <c r="N26" i="1"/>
  <c r="Q25" i="1"/>
  <c r="P25" i="1"/>
  <c r="O25" i="1"/>
  <c r="N25" i="1"/>
  <c r="Q24" i="1"/>
  <c r="P24" i="1"/>
  <c r="O24" i="1"/>
  <c r="N24" i="1"/>
  <c r="P23" i="1"/>
  <c r="N23" i="1"/>
  <c r="Q22" i="1"/>
  <c r="P22" i="1"/>
  <c r="N22" i="1"/>
  <c r="P37" i="1"/>
  <c r="N37" i="1"/>
  <c r="P21" i="1"/>
  <c r="H36" i="1"/>
  <c r="G36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J22" i="1"/>
  <c r="I22" i="1"/>
  <c r="G22" i="1"/>
  <c r="J37" i="1"/>
  <c r="I37" i="1"/>
  <c r="G37" i="1"/>
  <c r="J21" i="1"/>
  <c r="I21" i="1"/>
  <c r="G21" i="1"/>
  <c r="I36" i="1" l="1"/>
  <c r="J36" i="1"/>
  <c r="G24" i="1" l="1"/>
  <c r="H24" i="1"/>
  <c r="P12" i="1" l="1"/>
  <c r="O12" i="1"/>
  <c r="N13" i="1"/>
  <c r="O13" i="1"/>
  <c r="P13" i="1"/>
  <c r="Q13" i="1"/>
  <c r="N14" i="1"/>
  <c r="O14" i="1"/>
  <c r="P14" i="1"/>
  <c r="Q14" i="1"/>
  <c r="N15" i="1"/>
  <c r="O15" i="1"/>
  <c r="P15" i="1"/>
  <c r="Q15" i="1"/>
  <c r="N16" i="1"/>
  <c r="O16" i="1"/>
  <c r="P16" i="1"/>
  <c r="Q16" i="1"/>
  <c r="N18" i="1"/>
  <c r="O18" i="1"/>
  <c r="P18" i="1"/>
  <c r="Q18" i="1"/>
  <c r="J17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8" i="1"/>
  <c r="H18" i="1"/>
  <c r="I18" i="1"/>
  <c r="J18" i="1"/>
  <c r="M9" i="1" l="1"/>
  <c r="I17" i="1"/>
  <c r="Q17" i="1"/>
  <c r="Q20" i="1"/>
  <c r="P20" i="1"/>
  <c r="L9" i="1"/>
  <c r="H17" i="1"/>
  <c r="P17" i="1"/>
  <c r="O17" i="1"/>
  <c r="N17" i="1"/>
  <c r="N12" i="1"/>
  <c r="Q12" i="1"/>
  <c r="Q39" i="1"/>
  <c r="Q40" i="1"/>
  <c r="Q38" i="1"/>
  <c r="P39" i="1"/>
  <c r="P40" i="1"/>
  <c r="P38" i="1"/>
  <c r="N39" i="1"/>
  <c r="N40" i="1"/>
  <c r="O38" i="1"/>
  <c r="N38" i="1"/>
  <c r="J39" i="1"/>
  <c r="I39" i="1"/>
  <c r="I40" i="1"/>
  <c r="Q10" i="1" l="1"/>
  <c r="P10" i="1"/>
  <c r="P9" i="1"/>
  <c r="O10" i="1"/>
  <c r="N10" i="1"/>
  <c r="Q9" i="1"/>
  <c r="J38" i="1"/>
  <c r="I38" i="1"/>
  <c r="H39" i="1"/>
  <c r="H38" i="1"/>
  <c r="G39" i="1"/>
  <c r="G40" i="1"/>
  <c r="G38" i="1"/>
  <c r="N21" i="1"/>
  <c r="O9" i="1"/>
  <c r="N20" i="1"/>
  <c r="N9" i="1" l="1"/>
</calcChain>
</file>

<file path=xl/comments1.xml><?xml version="1.0" encoding="utf-8"?>
<comments xmlns="http://schemas.openxmlformats.org/spreadsheetml/2006/main">
  <authors>
    <author>Автор</author>
  </authors>
  <commentList>
    <comment ref="D11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F11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D17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F17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L18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19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</commentList>
</comments>
</file>

<file path=xl/sharedStrings.xml><?xml version="1.0" encoding="utf-8"?>
<sst xmlns="http://schemas.openxmlformats.org/spreadsheetml/2006/main" count="130" uniqueCount="68">
  <si>
    <t>Организация отдыха детей и молодежи</t>
  </si>
  <si>
    <t>Предоставление питания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</si>
  <si>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</si>
  <si>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</si>
  <si>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</si>
  <si>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</si>
  <si>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</si>
  <si>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</si>
  <si>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</si>
  <si>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</si>
  <si>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</si>
  <si>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</si>
  <si>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</si>
  <si>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</si>
  <si>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число зрителей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</si>
  <si>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</si>
  <si>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</si>
  <si>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</si>
  <si>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</si>
  <si>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</si>
  <si>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</si>
  <si>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</si>
  <si>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</si>
  <si>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</si>
  <si>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</si>
  <si>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</si>
  <si>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</si>
  <si>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</si>
  <si>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</si>
  <si>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</si>
  <si>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</si>
  <si>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</si>
  <si>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</si>
  <si>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</si>
  <si>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</si>
  <si>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</si>
  <si>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</si>
  <si>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</si>
  <si>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</si>
  <si>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</si>
  <si>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</si>
  <si>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</si>
  <si>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</si>
  <si>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</si>
  <si>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</si>
  <si>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</si>
  <si>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</si>
  <si>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</si>
  <si>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</si>
  <si>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 меропрятий 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</si>
  <si>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</si>
  <si>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</si>
  <si>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</si>
  <si>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количество занимающихся</t>
  </si>
  <si>
    <t>Содержание детей</t>
  </si>
  <si>
    <t>2019 год (факт)</t>
  </si>
  <si>
    <t>2020 (план)</t>
  </si>
  <si>
    <t>2020 (факт)</t>
  </si>
  <si>
    <t>к 2019 году</t>
  </si>
  <si>
    <t>к 2020 году (плану)</t>
  </si>
  <si>
    <t>2020 год</t>
  </si>
  <si>
    <t xml:space="preserve">Сведения о выполненных в 2020 году объемах муниципальных заданий на оказание муниципальных услуг (работ), объемах субсидий на их финансовое обеспечение выполнения муниципальных заданий </t>
  </si>
  <si>
    <t>III.</t>
  </si>
  <si>
    <t>Администрация</t>
  </si>
  <si>
    <t>Наименование муниципальной услуги, работы</t>
  </si>
  <si>
    <t>Осуществление издательской деятельности</t>
  </si>
  <si>
    <t>Единица измерения муниципальной услуги, работы</t>
  </si>
  <si>
    <t>квадратный сантиметр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</si>
</sst>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/>
    <xf numFmtId="0" fontId="5" fillId="0" borderId="0" xfId="0" applyFont="1" applyFill="1"/>
    <xf numFmtId="0" fontId="7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5" fillId="0" borderId="16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5" fillId="0" borderId="2" xfId="0" applyFont="1" applyFill="1" applyBorder="1" applyAlignment="1">
      <alignment horizontal="center" vertical="top"/>
    </xf>
    <xf numFmtId="0" fontId="5" fillId="0" borderId="17" xfId="0" applyFont="1" applyFill="1" applyBorder="1" applyAlignment="1">
      <alignment horizontal="center" vertical="top"/>
    </xf>
    <xf numFmtId="0" fontId="5" fillId="0" borderId="16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3" fontId="5" fillId="0" borderId="15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65" fontId="5" fillId="0" borderId="15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top" wrapText="1"/>
    </xf>
    <xf numFmtId="3" fontId="5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23" xfId="0" applyNumberFormat="1" applyFont="1" applyFill="1" applyBorder="1" applyAlignment="1">
      <alignment horizontal="center" vertical="center"/>
    </xf>
    <xf numFmtId="165" fontId="5" fillId="0" borderId="24" xfId="0" applyNumberFormat="1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vertical="top" wrapText="1"/>
    </xf>
    <xf numFmtId="3" fontId="5" fillId="0" borderId="7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/>
    </xf>
    <xf numFmtId="165" fontId="5" fillId="0" borderId="26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wrapText="1"/>
    </xf>
    <xf numFmtId="0" fontId="10" fillId="0" borderId="7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top" wrapText="1"/>
    </xf>
    <xf numFmtId="165" fontId="5" fillId="0" borderId="3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65" fontId="7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7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right"/>
    </xf>
    <xf numFmtId="1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top"/>
    </xf>
    <xf numFmtId="0" fontId="5" fillId="0" borderId="27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0" fillId="0" borderId="0" xfId="0" applyFont="1" applyFill="1" applyAlignment="1"/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6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2" sqref="A2:Q2"/>
    </sheetView>
  </sheetViews>
  <sheetFormatPr defaultRowHeight="15" x14ac:dyDescent="0.25"/>
  <cols>
    <col min="1" max="1" width="4.5703125" style="68" customWidth="1"/>
    <col min="2" max="2" width="58.140625" style="68" customWidth="1"/>
    <col min="3" max="3" width="17.7109375" style="68" customWidth="1"/>
    <col min="4" max="4" width="16.42578125" style="68" customWidth="1"/>
    <col min="5" max="5" width="16.5703125" style="68" customWidth="1"/>
    <col min="6" max="6" width="16.7109375" style="68" customWidth="1"/>
    <col min="7" max="7" width="15.42578125" style="68" customWidth="1"/>
    <col min="8" max="8" width="13.140625" style="68" customWidth="1"/>
    <col min="9" max="9" width="15.7109375" style="68" customWidth="1"/>
    <col min="10" max="10" width="15.42578125" style="68" customWidth="1"/>
    <col min="11" max="11" width="16" style="68" bestFit="1" customWidth="1"/>
    <col min="12" max="12" width="14.5703125" style="68" bestFit="1" customWidth="1"/>
    <col min="13" max="14" width="12.42578125" style="68" bestFit="1" customWidth="1"/>
    <col min="15" max="15" width="10.42578125" style="68" customWidth="1"/>
    <col min="16" max="16" width="12.42578125" style="68" bestFit="1" customWidth="1"/>
    <col min="17" max="17" width="9.7109375" style="68" customWidth="1"/>
    <col min="18" max="18" width="9.140625" style="68"/>
  </cols>
  <sheetData>
    <row r="2" spans="1:17" ht="15.75" x14ac:dyDescent="0.25">
      <c r="A2" s="92" t="s">
        <v>61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3" spans="1:17" ht="16.5" thickBot="1" x14ac:dyDescent="0.3">
      <c r="A3" s="3"/>
      <c r="B3" s="4"/>
      <c r="C3" s="4"/>
      <c r="D3" s="7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33.75" customHeight="1" x14ac:dyDescent="0.25">
      <c r="A4" s="96" t="s">
        <v>6</v>
      </c>
      <c r="B4" s="101" t="s">
        <v>64</v>
      </c>
      <c r="C4" s="101" t="s">
        <v>66</v>
      </c>
      <c r="D4" s="94" t="s">
        <v>8</v>
      </c>
      <c r="E4" s="95"/>
      <c r="F4" s="95"/>
      <c r="G4" s="95"/>
      <c r="H4" s="95"/>
      <c r="I4" s="95"/>
      <c r="J4" s="95"/>
      <c r="K4" s="94" t="s">
        <v>9</v>
      </c>
      <c r="L4" s="95"/>
      <c r="M4" s="95"/>
      <c r="N4" s="95"/>
      <c r="O4" s="95"/>
      <c r="P4" s="95"/>
      <c r="Q4" s="95"/>
    </row>
    <row r="5" spans="1:17" ht="20.100000000000001" customHeight="1" x14ac:dyDescent="0.25">
      <c r="A5" s="97"/>
      <c r="B5" s="102"/>
      <c r="C5" s="102"/>
      <c r="D5" s="99" t="s">
        <v>55</v>
      </c>
      <c r="E5" s="107" t="s">
        <v>60</v>
      </c>
      <c r="F5" s="108"/>
      <c r="G5" s="108"/>
      <c r="H5" s="108"/>
      <c r="I5" s="108"/>
      <c r="J5" s="109"/>
      <c r="K5" s="99" t="s">
        <v>55</v>
      </c>
      <c r="L5" s="83" t="s">
        <v>60</v>
      </c>
      <c r="M5" s="84"/>
      <c r="N5" s="84"/>
      <c r="O5" s="84"/>
      <c r="P5" s="84"/>
      <c r="Q5" s="85"/>
    </row>
    <row r="6" spans="1:17" ht="20.100000000000001" customHeight="1" x14ac:dyDescent="0.25">
      <c r="A6" s="97"/>
      <c r="B6" s="102"/>
      <c r="C6" s="102"/>
      <c r="D6" s="100"/>
      <c r="E6" s="86" t="s">
        <v>56</v>
      </c>
      <c r="F6" s="81" t="s">
        <v>57</v>
      </c>
      <c r="G6" s="81" t="s">
        <v>2</v>
      </c>
      <c r="H6" s="82"/>
      <c r="I6" s="82"/>
      <c r="J6" s="82"/>
      <c r="K6" s="100"/>
      <c r="L6" s="86" t="s">
        <v>56</v>
      </c>
      <c r="M6" s="81" t="s">
        <v>57</v>
      </c>
      <c r="N6" s="81" t="s">
        <v>2</v>
      </c>
      <c r="O6" s="82"/>
      <c r="P6" s="82"/>
      <c r="Q6" s="82"/>
    </row>
    <row r="7" spans="1:17" ht="42" customHeight="1" x14ac:dyDescent="0.25">
      <c r="A7" s="97"/>
      <c r="B7" s="105"/>
      <c r="C7" s="103"/>
      <c r="D7" s="100"/>
      <c r="E7" s="87"/>
      <c r="F7" s="82"/>
      <c r="G7" s="81" t="s">
        <v>58</v>
      </c>
      <c r="H7" s="82"/>
      <c r="I7" s="81" t="s">
        <v>59</v>
      </c>
      <c r="J7" s="82"/>
      <c r="K7" s="100"/>
      <c r="L7" s="87"/>
      <c r="M7" s="82"/>
      <c r="N7" s="81" t="s">
        <v>58</v>
      </c>
      <c r="O7" s="82"/>
      <c r="P7" s="81" t="s">
        <v>59</v>
      </c>
      <c r="Q7" s="82"/>
    </row>
    <row r="8" spans="1:17" ht="35.25" customHeight="1" thickBot="1" x14ac:dyDescent="0.3">
      <c r="A8" s="98"/>
      <c r="B8" s="106"/>
      <c r="C8" s="104"/>
      <c r="D8" s="73" t="s">
        <v>38</v>
      </c>
      <c r="E8" s="5" t="s">
        <v>38</v>
      </c>
      <c r="F8" s="5" t="s">
        <v>38</v>
      </c>
      <c r="G8" s="5" t="s">
        <v>38</v>
      </c>
      <c r="H8" s="5" t="s">
        <v>3</v>
      </c>
      <c r="I8" s="5" t="s">
        <v>38</v>
      </c>
      <c r="J8" s="5" t="s">
        <v>3</v>
      </c>
      <c r="K8" s="74" t="s">
        <v>47</v>
      </c>
      <c r="L8" s="5" t="s">
        <v>47</v>
      </c>
      <c r="M8" s="5" t="s">
        <v>47</v>
      </c>
      <c r="N8" s="5" t="s">
        <v>47</v>
      </c>
      <c r="O8" s="5" t="s">
        <v>3</v>
      </c>
      <c r="P8" s="5" t="s">
        <v>47</v>
      </c>
      <c r="Q8" s="5" t="s">
        <v>3</v>
      </c>
    </row>
    <row r="9" spans="1:17" ht="68.25" customHeight="1" x14ac:dyDescent="0.25">
      <c r="A9" s="6"/>
      <c r="B9" s="7" t="s">
        <v>40</v>
      </c>
      <c r="C9" s="8"/>
      <c r="D9" s="9" t="s">
        <v>45</v>
      </c>
      <c r="E9" s="9" t="s">
        <v>45</v>
      </c>
      <c r="F9" s="9" t="s">
        <v>45</v>
      </c>
      <c r="G9" s="9" t="s">
        <v>45</v>
      </c>
      <c r="H9" s="9" t="s">
        <v>45</v>
      </c>
      <c r="I9" s="9" t="s">
        <v>45</v>
      </c>
      <c r="J9" s="9" t="s">
        <v>45</v>
      </c>
      <c r="K9" s="10">
        <f t="shared" ref="K9" si="0">SUM(K10+K20)</f>
        <v>1613465.5</v>
      </c>
      <c r="L9" s="10">
        <f t="shared" ref="L9:M9" si="1">SUM(L10+L20)</f>
        <v>1707805.5999999999</v>
      </c>
      <c r="M9" s="10">
        <f t="shared" si="1"/>
        <v>1707099.6999999997</v>
      </c>
      <c r="N9" s="11">
        <f>SUM(M9-K9)</f>
        <v>93634.199999999721</v>
      </c>
      <c r="O9" s="11">
        <f>SUM(M9/K9)*100</f>
        <v>105.80329731252387</v>
      </c>
      <c r="P9" s="11">
        <f>SUM(M9-L9)</f>
        <v>-705.9000000001397</v>
      </c>
      <c r="Q9" s="11">
        <f>SUM(M9/L9)*100</f>
        <v>99.958666255690915</v>
      </c>
    </row>
    <row r="10" spans="1:17" ht="35.25" customHeight="1" x14ac:dyDescent="0.25">
      <c r="A10" s="12" t="s">
        <v>43</v>
      </c>
      <c r="B10" s="13" t="s">
        <v>41</v>
      </c>
      <c r="C10" s="14"/>
      <c r="D10" s="9" t="s">
        <v>45</v>
      </c>
      <c r="E10" s="9" t="s">
        <v>45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69">
        <f t="shared" ref="K10" si="2">SUM(K11+K12+K13+K14+K15+K16+K17+K18+K19)</f>
        <v>1300241.3999999999</v>
      </c>
      <c r="L10" s="69">
        <f t="shared" ref="L10:M10" si="3">SUM(L11+L12+L13+L14+L15+L16+L17+L18+L19)</f>
        <v>1378460.0999999999</v>
      </c>
      <c r="M10" s="69">
        <f t="shared" si="3"/>
        <v>1377754.1999999997</v>
      </c>
      <c r="N10" s="11">
        <f>SUM(M10-K10)</f>
        <v>77512.799999999814</v>
      </c>
      <c r="O10" s="11">
        <f>SUM(M10/K10)*100</f>
        <v>105.96141608781259</v>
      </c>
      <c r="P10" s="11">
        <f>SUM(M10-L10)</f>
        <v>-705.9000000001397</v>
      </c>
      <c r="Q10" s="11">
        <f>SUM(M10/L10)*100</f>
        <v>99.948790683168838</v>
      </c>
    </row>
    <row r="11" spans="1:17" ht="31.5" x14ac:dyDescent="0.25">
      <c r="A11" s="31">
        <v>1</v>
      </c>
      <c r="B11" s="15" t="s">
        <v>4</v>
      </c>
      <c r="C11" s="15" t="s">
        <v>7</v>
      </c>
      <c r="D11" s="16">
        <v>1517</v>
      </c>
      <c r="E11" s="16">
        <v>1439</v>
      </c>
      <c r="F11" s="16">
        <v>1434</v>
      </c>
      <c r="G11" s="16">
        <f>SUM(F11-D11)</f>
        <v>-83</v>
      </c>
      <c r="H11" s="17">
        <f t="shared" ref="H11:H19" si="4">SUM(F11/D11)*100</f>
        <v>94.528675016479895</v>
      </c>
      <c r="I11" s="18">
        <f>SUM(F11-E11)</f>
        <v>-5</v>
      </c>
      <c r="J11" s="18">
        <f>SUM(F11/E11)*100</f>
        <v>99.652536483669223</v>
      </c>
      <c r="K11" s="70">
        <v>477772.4</v>
      </c>
      <c r="L11" s="70">
        <v>492778.6</v>
      </c>
      <c r="M11" s="70">
        <v>492534.6</v>
      </c>
      <c r="N11" s="19">
        <f t="shared" ref="N11:N18" si="5">SUM(M11-K11)</f>
        <v>14762.199999999953</v>
      </c>
      <c r="O11" s="20">
        <f>SUM(M11/K11)*100</f>
        <v>103.08979756888425</v>
      </c>
      <c r="P11" s="20">
        <f>SUM(M11-L11)</f>
        <v>-244</v>
      </c>
      <c r="Q11" s="20">
        <f>SUM(M11/L11)*100</f>
        <v>99.950484862776108</v>
      </c>
    </row>
    <row r="12" spans="1:17" ht="31.5" x14ac:dyDescent="0.25">
      <c r="A12" s="1">
        <v>2</v>
      </c>
      <c r="B12" s="2" t="s">
        <v>5</v>
      </c>
      <c r="C12" s="2" t="s">
        <v>7</v>
      </c>
      <c r="D12" s="16">
        <v>1703</v>
      </c>
      <c r="E12" s="16">
        <v>1555</v>
      </c>
      <c r="F12" s="16">
        <v>1558</v>
      </c>
      <c r="G12" s="21">
        <f t="shared" ref="G12:G18" si="6">SUM(F12-D12)</f>
        <v>-145</v>
      </c>
      <c r="H12" s="22">
        <f t="shared" si="4"/>
        <v>91.485613623018196</v>
      </c>
      <c r="I12" s="23">
        <f t="shared" ref="I12:I18" si="7">SUM(F12-E12)</f>
        <v>3</v>
      </c>
      <c r="J12" s="23">
        <f t="shared" ref="J12:J18" si="8">SUM(F12/E12)*100</f>
        <v>100.19292604501608</v>
      </c>
      <c r="K12" s="71">
        <v>156620.1</v>
      </c>
      <c r="L12" s="71">
        <v>167500.79999999999</v>
      </c>
      <c r="M12" s="71">
        <v>167445.79999999999</v>
      </c>
      <c r="N12" s="19">
        <f t="shared" si="5"/>
        <v>10825.699999999983</v>
      </c>
      <c r="O12" s="19">
        <f t="shared" ref="O12:O18" si="9">SUM(M12/K12)*100</f>
        <v>106.91207578082249</v>
      </c>
      <c r="P12" s="19">
        <f t="shared" ref="P12:P18" si="10">SUM(M12-L12)</f>
        <v>-55</v>
      </c>
      <c r="Q12" s="19">
        <f t="shared" ref="Q12:Q18" si="11">SUM(M12/L12)*100</f>
        <v>99.967164335931528</v>
      </c>
    </row>
    <row r="13" spans="1:17" ht="31.5" x14ac:dyDescent="0.25">
      <c r="A13" s="1">
        <v>3</v>
      </c>
      <c r="B13" s="2" t="s">
        <v>10</v>
      </c>
      <c r="C13" s="2" t="s">
        <v>7</v>
      </c>
      <c r="D13" s="21">
        <v>1106</v>
      </c>
      <c r="E13" s="21">
        <v>1136</v>
      </c>
      <c r="F13" s="21">
        <v>1094</v>
      </c>
      <c r="G13" s="21">
        <f t="shared" si="6"/>
        <v>-12</v>
      </c>
      <c r="H13" s="22">
        <f t="shared" si="4"/>
        <v>98.915009041591318</v>
      </c>
      <c r="I13" s="23">
        <f t="shared" si="7"/>
        <v>-42</v>
      </c>
      <c r="J13" s="23">
        <f t="shared" si="8"/>
        <v>96.302816901408448</v>
      </c>
      <c r="K13" s="19">
        <v>220763.2</v>
      </c>
      <c r="L13" s="19">
        <v>243664</v>
      </c>
      <c r="M13" s="19">
        <v>243408</v>
      </c>
      <c r="N13" s="19">
        <f t="shared" si="5"/>
        <v>22644.799999999988</v>
      </c>
      <c r="O13" s="19">
        <f t="shared" si="9"/>
        <v>110.25750668589691</v>
      </c>
      <c r="P13" s="19">
        <f t="shared" si="10"/>
        <v>-256</v>
      </c>
      <c r="Q13" s="19">
        <f t="shared" si="11"/>
        <v>99.894937290695381</v>
      </c>
    </row>
    <row r="14" spans="1:17" ht="31.5" x14ac:dyDescent="0.25">
      <c r="A14" s="1">
        <v>4</v>
      </c>
      <c r="B14" s="2" t="s">
        <v>11</v>
      </c>
      <c r="C14" s="2" t="s">
        <v>7</v>
      </c>
      <c r="D14" s="21">
        <v>1426</v>
      </c>
      <c r="E14" s="21">
        <v>1374</v>
      </c>
      <c r="F14" s="21">
        <v>1392</v>
      </c>
      <c r="G14" s="21">
        <f t="shared" si="6"/>
        <v>-34</v>
      </c>
      <c r="H14" s="22">
        <f t="shared" si="4"/>
        <v>97.615708274894814</v>
      </c>
      <c r="I14" s="23">
        <f t="shared" si="7"/>
        <v>18</v>
      </c>
      <c r="J14" s="23">
        <f t="shared" si="8"/>
        <v>101.31004366812226</v>
      </c>
      <c r="K14" s="19">
        <v>284637.09999999998</v>
      </c>
      <c r="L14" s="19">
        <v>307628.7</v>
      </c>
      <c r="M14" s="19">
        <v>307477.90000000002</v>
      </c>
      <c r="N14" s="19">
        <f t="shared" si="5"/>
        <v>22840.800000000047</v>
      </c>
      <c r="O14" s="19">
        <f t="shared" si="9"/>
        <v>108.0245336957129</v>
      </c>
      <c r="P14" s="19">
        <f t="shared" si="10"/>
        <v>-150.79999999998836</v>
      </c>
      <c r="Q14" s="19">
        <f t="shared" si="11"/>
        <v>99.950979866312878</v>
      </c>
    </row>
    <row r="15" spans="1:17" ht="31.5" x14ac:dyDescent="0.25">
      <c r="A15" s="1">
        <v>5</v>
      </c>
      <c r="B15" s="2" t="s">
        <v>12</v>
      </c>
      <c r="C15" s="2" t="s">
        <v>7</v>
      </c>
      <c r="D15" s="21">
        <v>304</v>
      </c>
      <c r="E15" s="21">
        <v>261</v>
      </c>
      <c r="F15" s="21">
        <v>280</v>
      </c>
      <c r="G15" s="21">
        <f t="shared" si="6"/>
        <v>-24</v>
      </c>
      <c r="H15" s="22">
        <f t="shared" si="4"/>
        <v>92.10526315789474</v>
      </c>
      <c r="I15" s="23">
        <f t="shared" si="7"/>
        <v>19</v>
      </c>
      <c r="J15" s="23">
        <f t="shared" si="8"/>
        <v>107.27969348659003</v>
      </c>
      <c r="K15" s="19">
        <v>60680</v>
      </c>
      <c r="L15" s="19">
        <v>62734.400000000001</v>
      </c>
      <c r="M15" s="19">
        <v>62734.400000000001</v>
      </c>
      <c r="N15" s="19">
        <f t="shared" si="5"/>
        <v>2054.4000000000015</v>
      </c>
      <c r="O15" s="19">
        <f t="shared" si="9"/>
        <v>103.38562953197099</v>
      </c>
      <c r="P15" s="19">
        <f t="shared" si="10"/>
        <v>0</v>
      </c>
      <c r="Q15" s="19">
        <f t="shared" si="11"/>
        <v>100</v>
      </c>
    </row>
    <row r="16" spans="1:17" ht="31.5" x14ac:dyDescent="0.25">
      <c r="A16" s="1">
        <v>6</v>
      </c>
      <c r="B16" s="2" t="s">
        <v>0</v>
      </c>
      <c r="C16" s="2" t="s">
        <v>37</v>
      </c>
      <c r="D16" s="21">
        <v>1065</v>
      </c>
      <c r="E16" s="21">
        <v>840</v>
      </c>
      <c r="F16" s="21">
        <v>935</v>
      </c>
      <c r="G16" s="21">
        <f t="shared" si="6"/>
        <v>-130</v>
      </c>
      <c r="H16" s="22">
        <f t="shared" si="4"/>
        <v>87.793427230046944</v>
      </c>
      <c r="I16" s="23">
        <f t="shared" si="7"/>
        <v>95</v>
      </c>
      <c r="J16" s="23">
        <f t="shared" si="8"/>
        <v>111.30952380952381</v>
      </c>
      <c r="K16" s="19">
        <v>8136.7</v>
      </c>
      <c r="L16" s="19">
        <v>8752.1</v>
      </c>
      <c r="M16" s="19">
        <v>8752</v>
      </c>
      <c r="N16" s="19">
        <f t="shared" si="5"/>
        <v>615.30000000000018</v>
      </c>
      <c r="O16" s="19">
        <f t="shared" si="9"/>
        <v>107.56203374832549</v>
      </c>
      <c r="P16" s="19">
        <f t="shared" si="10"/>
        <v>-0.1000000000003638</v>
      </c>
      <c r="Q16" s="19">
        <f t="shared" si="11"/>
        <v>99.998857417077033</v>
      </c>
    </row>
    <row r="17" spans="1:17" ht="31.5" x14ac:dyDescent="0.25">
      <c r="A17" s="1">
        <v>7</v>
      </c>
      <c r="B17" s="2" t="s">
        <v>13</v>
      </c>
      <c r="C17" s="2" t="s">
        <v>7</v>
      </c>
      <c r="D17" s="21">
        <v>2178</v>
      </c>
      <c r="E17" s="21">
        <v>2102</v>
      </c>
      <c r="F17" s="21">
        <v>2114</v>
      </c>
      <c r="G17" s="21">
        <f t="shared" si="6"/>
        <v>-64</v>
      </c>
      <c r="H17" s="22">
        <f t="shared" si="4"/>
        <v>97.061524334251601</v>
      </c>
      <c r="I17" s="23">
        <f t="shared" si="7"/>
        <v>12</v>
      </c>
      <c r="J17" s="23">
        <f t="shared" si="8"/>
        <v>100.5708848715509</v>
      </c>
      <c r="K17" s="19">
        <v>51932.800000000003</v>
      </c>
      <c r="L17" s="19">
        <v>50922.5</v>
      </c>
      <c r="M17" s="19">
        <v>50922.5</v>
      </c>
      <c r="N17" s="19">
        <f t="shared" si="5"/>
        <v>-1010.3000000000029</v>
      </c>
      <c r="O17" s="19">
        <f t="shared" si="9"/>
        <v>98.05460133095076</v>
      </c>
      <c r="P17" s="19">
        <f t="shared" si="10"/>
        <v>0</v>
      </c>
      <c r="Q17" s="19">
        <f t="shared" si="11"/>
        <v>100</v>
      </c>
    </row>
    <row r="18" spans="1:17" ht="31.5" x14ac:dyDescent="0.25">
      <c r="A18" s="1">
        <v>8</v>
      </c>
      <c r="B18" s="2" t="s">
        <v>1</v>
      </c>
      <c r="C18" s="2" t="s">
        <v>7</v>
      </c>
      <c r="D18" s="21">
        <v>2224</v>
      </c>
      <c r="E18" s="21">
        <v>2114</v>
      </c>
      <c r="F18" s="21">
        <v>2172</v>
      </c>
      <c r="G18" s="21">
        <f t="shared" si="6"/>
        <v>-52</v>
      </c>
      <c r="H18" s="22">
        <f t="shared" si="4"/>
        <v>97.661870503597129</v>
      </c>
      <c r="I18" s="23">
        <f t="shared" si="7"/>
        <v>58</v>
      </c>
      <c r="J18" s="23">
        <f t="shared" si="8"/>
        <v>102.74361400189215</v>
      </c>
      <c r="K18" s="19">
        <v>29875.599999999999</v>
      </c>
      <c r="L18" s="19">
        <v>31648.9</v>
      </c>
      <c r="M18" s="19">
        <v>31648.9</v>
      </c>
      <c r="N18" s="19">
        <f t="shared" si="5"/>
        <v>1773.3000000000029</v>
      </c>
      <c r="O18" s="19">
        <f t="shared" si="9"/>
        <v>105.93561300860905</v>
      </c>
      <c r="P18" s="19">
        <f t="shared" si="10"/>
        <v>0</v>
      </c>
      <c r="Q18" s="19">
        <f t="shared" si="11"/>
        <v>100</v>
      </c>
    </row>
    <row r="19" spans="1:17" ht="31.5" x14ac:dyDescent="0.25">
      <c r="A19" s="1">
        <v>9</v>
      </c>
      <c r="B19" s="2" t="s">
        <v>54</v>
      </c>
      <c r="C19" s="2" t="s">
        <v>7</v>
      </c>
      <c r="D19" s="21">
        <v>59</v>
      </c>
      <c r="E19" s="21">
        <v>60</v>
      </c>
      <c r="F19" s="21">
        <v>58</v>
      </c>
      <c r="G19" s="21">
        <f t="shared" ref="G19" si="12">SUM(F19-D19)</f>
        <v>-1</v>
      </c>
      <c r="H19" s="22">
        <f t="shared" si="4"/>
        <v>98.305084745762713</v>
      </c>
      <c r="I19" s="23">
        <f t="shared" ref="I19" si="13">SUM(F19-E19)</f>
        <v>-2</v>
      </c>
      <c r="J19" s="23">
        <f t="shared" ref="J19" si="14">SUM(F19/E19)*100</f>
        <v>96.666666666666671</v>
      </c>
      <c r="K19" s="19">
        <v>9823.5</v>
      </c>
      <c r="L19" s="19">
        <v>12830.1</v>
      </c>
      <c r="M19" s="19">
        <v>12830.1</v>
      </c>
      <c r="N19" s="19">
        <f t="shared" ref="N19" si="15">SUM(M19-K19)</f>
        <v>3006.6000000000004</v>
      </c>
      <c r="O19" s="19">
        <f t="shared" ref="O19" si="16">SUM(M19/K19)*100</f>
        <v>130.60619941975875</v>
      </c>
      <c r="P19" s="19">
        <f t="shared" ref="P19" si="17">SUM(M19-L19)</f>
        <v>0</v>
      </c>
      <c r="Q19" s="19">
        <f t="shared" ref="Q19" si="18">SUM(M19/L19)*100</f>
        <v>100</v>
      </c>
    </row>
    <row r="20" spans="1:17" ht="35.25" customHeight="1" x14ac:dyDescent="0.25">
      <c r="A20" s="24" t="s">
        <v>44</v>
      </c>
      <c r="B20" s="25" t="s">
        <v>42</v>
      </c>
      <c r="C20" s="2"/>
      <c r="D20" s="26" t="s">
        <v>45</v>
      </c>
      <c r="E20" s="26" t="s">
        <v>45</v>
      </c>
      <c r="F20" s="26" t="s">
        <v>45</v>
      </c>
      <c r="G20" s="26" t="s">
        <v>45</v>
      </c>
      <c r="H20" s="9" t="s">
        <v>45</v>
      </c>
      <c r="I20" s="9" t="s">
        <v>45</v>
      </c>
      <c r="J20" s="9" t="s">
        <v>45</v>
      </c>
      <c r="K20" s="27">
        <f t="shared" ref="K20" si="19">SUM(K21+K34+K37+K22+K23+K24+K25+K26+K27+K28+K29+K30+K31+K32+K33+K38+K39+K40+K35+K36+K41)</f>
        <v>313224.10000000003</v>
      </c>
      <c r="L20" s="27">
        <f t="shared" ref="L20:M20" si="20">SUM(L21+L34+L37+L22+L23+L24+L25+L26+L27+L28+L29+L30+L31+L32+L33+L38+L39+L40+L35+L36+L41)</f>
        <v>329345.5</v>
      </c>
      <c r="M20" s="27">
        <f t="shared" si="20"/>
        <v>329345.5</v>
      </c>
      <c r="N20" s="11">
        <f>SUM(M20-K20)</f>
        <v>16121.399999999965</v>
      </c>
      <c r="O20" s="11">
        <f>SUM(M20/K20)*100</f>
        <v>105.14692196417835</v>
      </c>
      <c r="P20" s="11">
        <f>SUM(M20-L20)</f>
        <v>0</v>
      </c>
      <c r="Q20" s="11">
        <f>SUM(M20/L20)*100</f>
        <v>100</v>
      </c>
    </row>
    <row r="21" spans="1:17" ht="24" customHeight="1" x14ac:dyDescent="0.25">
      <c r="A21" s="1">
        <v>1</v>
      </c>
      <c r="B21" s="2" t="s">
        <v>50</v>
      </c>
      <c r="C21" s="2" t="s">
        <v>14</v>
      </c>
      <c r="D21" s="21">
        <v>17280</v>
      </c>
      <c r="E21" s="21">
        <v>6094</v>
      </c>
      <c r="F21" s="21">
        <v>6383</v>
      </c>
      <c r="G21" s="21">
        <f t="shared" ref="G21:G41" si="21">SUM(F21-D21)</f>
        <v>-10897</v>
      </c>
      <c r="H21" s="22">
        <v>0</v>
      </c>
      <c r="I21" s="23">
        <f t="shared" ref="I21:I37" si="22">SUM(F21-E21)</f>
        <v>289</v>
      </c>
      <c r="J21" s="23">
        <f t="shared" ref="J21:J37" si="23">SUM(F21/E21)*100</f>
        <v>104.7423695438136</v>
      </c>
      <c r="K21" s="19">
        <v>12437.7</v>
      </c>
      <c r="L21" s="19">
        <v>4987.8999999999996</v>
      </c>
      <c r="M21" s="19">
        <v>4987.8999999999996</v>
      </c>
      <c r="N21" s="19">
        <f t="shared" ref="N21:N37" si="24">SUM(M21-K21)</f>
        <v>-7449.8000000000011</v>
      </c>
      <c r="O21" s="19">
        <v>0</v>
      </c>
      <c r="P21" s="19">
        <f t="shared" ref="P21:P37" si="25">SUM(M21-L21)</f>
        <v>0</v>
      </c>
      <c r="Q21" s="19">
        <v>0</v>
      </c>
    </row>
    <row r="22" spans="1:17" ht="47.25" x14ac:dyDescent="0.25">
      <c r="A22" s="1">
        <v>2</v>
      </c>
      <c r="B22" s="2" t="s">
        <v>49</v>
      </c>
      <c r="C22" s="2" t="s">
        <v>15</v>
      </c>
      <c r="D22" s="21">
        <v>39060</v>
      </c>
      <c r="E22" s="21">
        <f>56389+5396</f>
        <v>61785</v>
      </c>
      <c r="F22" s="21">
        <f>58692+5512</f>
        <v>64204</v>
      </c>
      <c r="G22" s="21">
        <f t="shared" ref="G22:G33" si="26">SUM(F22-D22)</f>
        <v>25144</v>
      </c>
      <c r="H22" s="22">
        <v>0</v>
      </c>
      <c r="I22" s="23">
        <f t="shared" ref="I22:I33" si="27">SUM(F22-E22)</f>
        <v>2419</v>
      </c>
      <c r="J22" s="23">
        <f t="shared" ref="J22:J33" si="28">SUM(F22/E22)*100</f>
        <v>103.91518977098002</v>
      </c>
      <c r="K22" s="19">
        <v>26099</v>
      </c>
      <c r="L22" s="19">
        <f>46153.9+4416.6</f>
        <v>50570.5</v>
      </c>
      <c r="M22" s="19">
        <f>46153.9+4416.6</f>
        <v>50570.5</v>
      </c>
      <c r="N22" s="19">
        <f t="shared" ref="N22:N33" si="29">SUM(M22-K22)</f>
        <v>24471.5</v>
      </c>
      <c r="O22" s="19">
        <v>0</v>
      </c>
      <c r="P22" s="19">
        <f t="shared" ref="P22:P33" si="30">SUM(M22-L22)</f>
        <v>0</v>
      </c>
      <c r="Q22" s="19">
        <f>SUM(M22/L22)*100</f>
        <v>100</v>
      </c>
    </row>
    <row r="23" spans="1:17" ht="35.25" customHeight="1" thickBot="1" x14ac:dyDescent="0.3">
      <c r="A23" s="1">
        <v>3</v>
      </c>
      <c r="B23" s="34" t="s">
        <v>16</v>
      </c>
      <c r="C23" s="34" t="s">
        <v>17</v>
      </c>
      <c r="D23" s="38">
        <v>44043</v>
      </c>
      <c r="E23" s="38">
        <f>17346+5987</f>
        <v>23333</v>
      </c>
      <c r="F23" s="38">
        <f>17729+6220</f>
        <v>23949</v>
      </c>
      <c r="G23" s="38">
        <f t="shared" si="26"/>
        <v>-20094</v>
      </c>
      <c r="H23" s="39">
        <f t="shared" ref="H23:H36" si="31">SUM(F23/D23)*100</f>
        <v>54.376404877051975</v>
      </c>
      <c r="I23" s="40">
        <f t="shared" si="27"/>
        <v>616</v>
      </c>
      <c r="J23" s="40">
        <f t="shared" si="28"/>
        <v>102.6400377148245</v>
      </c>
      <c r="K23" s="41">
        <v>29647.4</v>
      </c>
      <c r="L23" s="41">
        <f>14197.5+4900.3</f>
        <v>19097.8</v>
      </c>
      <c r="M23" s="41">
        <f>14197.5+4900.3</f>
        <v>19097.8</v>
      </c>
      <c r="N23" s="41">
        <f t="shared" si="29"/>
        <v>-10549.600000000002</v>
      </c>
      <c r="O23" s="41">
        <v>0</v>
      </c>
      <c r="P23" s="41">
        <f t="shared" si="30"/>
        <v>0</v>
      </c>
      <c r="Q23" s="41">
        <v>0</v>
      </c>
    </row>
    <row r="24" spans="1:17" ht="31.5" x14ac:dyDescent="0.25">
      <c r="A24" s="32">
        <v>4</v>
      </c>
      <c r="B24" s="35" t="s">
        <v>18</v>
      </c>
      <c r="C24" s="42" t="s">
        <v>19</v>
      </c>
      <c r="D24" s="43">
        <v>105649</v>
      </c>
      <c r="E24" s="43">
        <f>104714+3000</f>
        <v>107714</v>
      </c>
      <c r="F24" s="43">
        <f>97885+3569</f>
        <v>101454</v>
      </c>
      <c r="G24" s="43">
        <f t="shared" si="26"/>
        <v>-4195</v>
      </c>
      <c r="H24" s="44">
        <f t="shared" si="31"/>
        <v>96.029304584047168</v>
      </c>
      <c r="I24" s="45">
        <f t="shared" si="27"/>
        <v>-6260</v>
      </c>
      <c r="J24" s="45">
        <f t="shared" si="28"/>
        <v>94.188313496852771</v>
      </c>
      <c r="K24" s="46">
        <v>46146.7</v>
      </c>
      <c r="L24" s="46">
        <f>49876+1428.9</f>
        <v>51304.9</v>
      </c>
      <c r="M24" s="46">
        <f>49876+1428.9</f>
        <v>51304.9</v>
      </c>
      <c r="N24" s="46">
        <f t="shared" si="29"/>
        <v>5158.2000000000044</v>
      </c>
      <c r="O24" s="46">
        <f t="shared" ref="O24:O33" si="32">SUM(M24/K24)*100</f>
        <v>111.17783070078684</v>
      </c>
      <c r="P24" s="46">
        <f t="shared" si="30"/>
        <v>0</v>
      </c>
      <c r="Q24" s="47">
        <f t="shared" ref="Q24:Q33" si="33">SUM(M24/L24)*100</f>
        <v>100</v>
      </c>
    </row>
    <row r="25" spans="1:17" ht="31.5" x14ac:dyDescent="0.25">
      <c r="A25" s="32">
        <v>5</v>
      </c>
      <c r="B25" s="36" t="s">
        <v>20</v>
      </c>
      <c r="C25" s="33" t="s">
        <v>21</v>
      </c>
      <c r="D25" s="21">
        <v>2419</v>
      </c>
      <c r="E25" s="21">
        <v>2254</v>
      </c>
      <c r="F25" s="21">
        <v>2513</v>
      </c>
      <c r="G25" s="21">
        <f t="shared" si="26"/>
        <v>94</v>
      </c>
      <c r="H25" s="22">
        <f t="shared" si="31"/>
        <v>103.88590326581233</v>
      </c>
      <c r="I25" s="23">
        <f t="shared" si="27"/>
        <v>259</v>
      </c>
      <c r="J25" s="23">
        <f t="shared" si="28"/>
        <v>111.49068322981365</v>
      </c>
      <c r="K25" s="19">
        <v>1056.5999999999999</v>
      </c>
      <c r="L25" s="19">
        <v>1073.5999999999999</v>
      </c>
      <c r="M25" s="19">
        <v>1073.5999999999999</v>
      </c>
      <c r="N25" s="19">
        <f t="shared" si="29"/>
        <v>17</v>
      </c>
      <c r="O25" s="19">
        <f t="shared" si="32"/>
        <v>101.60893431762257</v>
      </c>
      <c r="P25" s="19">
        <f t="shared" si="30"/>
        <v>0</v>
      </c>
      <c r="Q25" s="48">
        <f t="shared" si="33"/>
        <v>100</v>
      </c>
    </row>
    <row r="26" spans="1:17" ht="48" thickBot="1" x14ac:dyDescent="0.3">
      <c r="A26" s="32">
        <v>6</v>
      </c>
      <c r="B26" s="37" t="s">
        <v>46</v>
      </c>
      <c r="C26" s="49" t="s">
        <v>21</v>
      </c>
      <c r="D26" s="50">
        <v>3491</v>
      </c>
      <c r="E26" s="50">
        <v>3489</v>
      </c>
      <c r="F26" s="50">
        <v>4053</v>
      </c>
      <c r="G26" s="50">
        <f t="shared" si="26"/>
        <v>562</v>
      </c>
      <c r="H26" s="51">
        <f t="shared" si="31"/>
        <v>116.09853910054426</v>
      </c>
      <c r="I26" s="52">
        <f t="shared" si="27"/>
        <v>564</v>
      </c>
      <c r="J26" s="52">
        <f t="shared" si="28"/>
        <v>116.16509028374892</v>
      </c>
      <c r="K26" s="53">
        <v>1524.8</v>
      </c>
      <c r="L26" s="53">
        <v>1661.8</v>
      </c>
      <c r="M26" s="53">
        <v>1661.8</v>
      </c>
      <c r="N26" s="53">
        <f t="shared" si="29"/>
        <v>137</v>
      </c>
      <c r="O26" s="53">
        <f t="shared" si="32"/>
        <v>108.98478488982161</v>
      </c>
      <c r="P26" s="53">
        <f t="shared" si="30"/>
        <v>0</v>
      </c>
      <c r="Q26" s="54">
        <f t="shared" si="33"/>
        <v>100</v>
      </c>
    </row>
    <row r="27" spans="1:17" ht="31.5" x14ac:dyDescent="0.25">
      <c r="A27" s="32">
        <v>7</v>
      </c>
      <c r="B27" s="55" t="s">
        <v>22</v>
      </c>
      <c r="C27" s="56" t="s">
        <v>23</v>
      </c>
      <c r="D27" s="43">
        <v>13931</v>
      </c>
      <c r="E27" s="43">
        <f>6800+1590+1200</f>
        <v>9590</v>
      </c>
      <c r="F27" s="43">
        <f>6500+1514+1200</f>
        <v>9214</v>
      </c>
      <c r="G27" s="43">
        <f t="shared" si="26"/>
        <v>-4717</v>
      </c>
      <c r="H27" s="44">
        <f t="shared" si="31"/>
        <v>66.14026272342258</v>
      </c>
      <c r="I27" s="45">
        <f t="shared" si="27"/>
        <v>-376</v>
      </c>
      <c r="J27" s="45">
        <f t="shared" si="28"/>
        <v>96.079249217935342</v>
      </c>
      <c r="K27" s="46">
        <v>13838.1</v>
      </c>
      <c r="L27" s="46">
        <f>10505.2+2456.4+1853.8</f>
        <v>14815.4</v>
      </c>
      <c r="M27" s="46">
        <f>10505.2+2456.4+1853.8</f>
        <v>14815.4</v>
      </c>
      <c r="N27" s="46">
        <f t="shared" si="29"/>
        <v>977.29999999999927</v>
      </c>
      <c r="O27" s="46">
        <f t="shared" si="32"/>
        <v>107.0623857321453</v>
      </c>
      <c r="P27" s="46">
        <f t="shared" si="30"/>
        <v>0</v>
      </c>
      <c r="Q27" s="47">
        <f t="shared" si="33"/>
        <v>100</v>
      </c>
    </row>
    <row r="28" spans="1:17" ht="47.25" x14ac:dyDescent="0.25">
      <c r="A28" s="32">
        <v>8</v>
      </c>
      <c r="B28" s="57" t="s">
        <v>24</v>
      </c>
      <c r="C28" s="2" t="s">
        <v>25</v>
      </c>
      <c r="D28" s="21">
        <v>486</v>
      </c>
      <c r="E28" s="21">
        <v>108</v>
      </c>
      <c r="F28" s="21">
        <v>108</v>
      </c>
      <c r="G28" s="21">
        <f t="shared" si="26"/>
        <v>-378</v>
      </c>
      <c r="H28" s="22">
        <f t="shared" si="31"/>
        <v>22.222222222222221</v>
      </c>
      <c r="I28" s="23">
        <f t="shared" si="27"/>
        <v>0</v>
      </c>
      <c r="J28" s="23">
        <f t="shared" si="28"/>
        <v>100</v>
      </c>
      <c r="K28" s="19">
        <v>482.8</v>
      </c>
      <c r="L28" s="19">
        <v>166.8</v>
      </c>
      <c r="M28" s="19">
        <v>166.8</v>
      </c>
      <c r="N28" s="19">
        <f t="shared" si="29"/>
        <v>-316</v>
      </c>
      <c r="O28" s="19">
        <f t="shared" si="32"/>
        <v>34.548467274233644</v>
      </c>
      <c r="P28" s="19">
        <f t="shared" si="30"/>
        <v>0</v>
      </c>
      <c r="Q28" s="48">
        <f t="shared" si="33"/>
        <v>100</v>
      </c>
    </row>
    <row r="29" spans="1:17" ht="32.25" thickBot="1" x14ac:dyDescent="0.3">
      <c r="A29" s="32">
        <v>9</v>
      </c>
      <c r="B29" s="65" t="s">
        <v>26</v>
      </c>
      <c r="C29" s="34" t="s">
        <v>27</v>
      </c>
      <c r="D29" s="38">
        <v>32</v>
      </c>
      <c r="E29" s="38">
        <f>28+6</f>
        <v>34</v>
      </c>
      <c r="F29" s="38">
        <f>28+6</f>
        <v>34</v>
      </c>
      <c r="G29" s="38">
        <f t="shared" si="26"/>
        <v>2</v>
      </c>
      <c r="H29" s="39">
        <f t="shared" si="31"/>
        <v>106.25</v>
      </c>
      <c r="I29" s="40">
        <f t="shared" si="27"/>
        <v>0</v>
      </c>
      <c r="J29" s="40">
        <f t="shared" si="28"/>
        <v>100</v>
      </c>
      <c r="K29" s="41">
        <v>31.8</v>
      </c>
      <c r="L29" s="41">
        <f>43.3+9.3</f>
        <v>52.599999999999994</v>
      </c>
      <c r="M29" s="41">
        <f>43.3+9.3</f>
        <v>52.599999999999994</v>
      </c>
      <c r="N29" s="41">
        <f t="shared" si="29"/>
        <v>20.799999999999994</v>
      </c>
      <c r="O29" s="41">
        <f t="shared" si="32"/>
        <v>165.40880503144652</v>
      </c>
      <c r="P29" s="41">
        <f t="shared" si="30"/>
        <v>0</v>
      </c>
      <c r="Q29" s="66">
        <f t="shared" si="33"/>
        <v>100</v>
      </c>
    </row>
    <row r="30" spans="1:17" ht="31.5" x14ac:dyDescent="0.25">
      <c r="A30" s="32">
        <v>10</v>
      </c>
      <c r="B30" s="55" t="s">
        <v>28</v>
      </c>
      <c r="C30" s="56" t="s">
        <v>29</v>
      </c>
      <c r="D30" s="43">
        <v>186</v>
      </c>
      <c r="E30" s="43">
        <f>17+16+10+36+45+69</f>
        <v>193</v>
      </c>
      <c r="F30" s="43">
        <f>17+16+10+36+46+69</f>
        <v>194</v>
      </c>
      <c r="G30" s="43">
        <f t="shared" si="26"/>
        <v>8</v>
      </c>
      <c r="H30" s="44">
        <f t="shared" si="31"/>
        <v>104.3010752688172</v>
      </c>
      <c r="I30" s="45">
        <f t="shared" si="27"/>
        <v>1</v>
      </c>
      <c r="J30" s="45">
        <f t="shared" si="28"/>
        <v>100.51813471502591</v>
      </c>
      <c r="K30" s="46">
        <v>46159</v>
      </c>
      <c r="L30" s="46">
        <f>6795.6+6395.9+3997.4+14390.7+9680.2+14842.9</f>
        <v>56102.700000000004</v>
      </c>
      <c r="M30" s="46">
        <f>6795.6+6395.9+3997.4+14390.7+9680.2+14842.9</f>
        <v>56102.700000000004</v>
      </c>
      <c r="N30" s="46">
        <f t="shared" si="29"/>
        <v>9943.7000000000044</v>
      </c>
      <c r="O30" s="46">
        <f t="shared" si="32"/>
        <v>121.54227777898137</v>
      </c>
      <c r="P30" s="46">
        <f t="shared" si="30"/>
        <v>0</v>
      </c>
      <c r="Q30" s="47">
        <f t="shared" si="33"/>
        <v>100</v>
      </c>
    </row>
    <row r="31" spans="1:17" ht="32.25" thickBot="1" x14ac:dyDescent="0.3">
      <c r="A31" s="32">
        <v>11</v>
      </c>
      <c r="B31" s="58" t="s">
        <v>30</v>
      </c>
      <c r="C31" s="59" t="s">
        <v>29</v>
      </c>
      <c r="D31" s="50">
        <v>54</v>
      </c>
      <c r="E31" s="50">
        <f>19+16</f>
        <v>35</v>
      </c>
      <c r="F31" s="50">
        <f>19+17</f>
        <v>36</v>
      </c>
      <c r="G31" s="50">
        <f t="shared" si="26"/>
        <v>-18</v>
      </c>
      <c r="H31" s="51">
        <f t="shared" si="31"/>
        <v>66.666666666666657</v>
      </c>
      <c r="I31" s="52">
        <f t="shared" si="27"/>
        <v>1</v>
      </c>
      <c r="J31" s="52">
        <f t="shared" si="28"/>
        <v>102.85714285714285</v>
      </c>
      <c r="K31" s="53">
        <v>15306.6</v>
      </c>
      <c r="L31" s="53">
        <f>7595.1+3441.8</f>
        <v>11036.900000000001</v>
      </c>
      <c r="M31" s="53">
        <f>7595.1+3441.8</f>
        <v>11036.900000000001</v>
      </c>
      <c r="N31" s="53">
        <f t="shared" si="29"/>
        <v>-4269.6999999999989</v>
      </c>
      <c r="O31" s="53">
        <f t="shared" si="32"/>
        <v>72.10549697516106</v>
      </c>
      <c r="P31" s="53">
        <f t="shared" si="30"/>
        <v>0</v>
      </c>
      <c r="Q31" s="54">
        <f t="shared" si="33"/>
        <v>100</v>
      </c>
    </row>
    <row r="32" spans="1:17" ht="31.5" hidden="1" x14ac:dyDescent="0.25">
      <c r="A32" s="1">
        <v>12</v>
      </c>
      <c r="B32" s="15" t="s">
        <v>31</v>
      </c>
      <c r="C32" s="15" t="s">
        <v>29</v>
      </c>
      <c r="D32" s="16">
        <v>0</v>
      </c>
      <c r="E32" s="16">
        <v>0</v>
      </c>
      <c r="F32" s="16">
        <v>0</v>
      </c>
      <c r="G32" s="16">
        <f t="shared" si="26"/>
        <v>0</v>
      </c>
      <c r="H32" s="17" t="e">
        <f t="shared" si="31"/>
        <v>#DIV/0!</v>
      </c>
      <c r="I32" s="18">
        <f t="shared" si="27"/>
        <v>0</v>
      </c>
      <c r="J32" s="18" t="e">
        <f t="shared" si="28"/>
        <v>#DIV/0!</v>
      </c>
      <c r="K32" s="20">
        <v>0</v>
      </c>
      <c r="L32" s="20">
        <v>0</v>
      </c>
      <c r="M32" s="20">
        <v>0</v>
      </c>
      <c r="N32" s="20">
        <f t="shared" si="29"/>
        <v>0</v>
      </c>
      <c r="O32" s="20" t="e">
        <f t="shared" si="32"/>
        <v>#DIV/0!</v>
      </c>
      <c r="P32" s="20">
        <f t="shared" si="30"/>
        <v>0</v>
      </c>
      <c r="Q32" s="20" t="e">
        <f t="shared" si="33"/>
        <v>#DIV/0!</v>
      </c>
    </row>
    <row r="33" spans="1:17" ht="126" x14ac:dyDescent="0.25">
      <c r="A33" s="1">
        <v>12</v>
      </c>
      <c r="B33" s="2" t="s">
        <v>32</v>
      </c>
      <c r="C33" s="2" t="s">
        <v>33</v>
      </c>
      <c r="D33" s="21">
        <v>647</v>
      </c>
      <c r="E33" s="21">
        <v>596</v>
      </c>
      <c r="F33" s="21">
        <v>596</v>
      </c>
      <c r="G33" s="21">
        <f t="shared" si="26"/>
        <v>-51</v>
      </c>
      <c r="H33" s="22">
        <f t="shared" si="31"/>
        <v>92.117465224111285</v>
      </c>
      <c r="I33" s="23">
        <f t="shared" si="27"/>
        <v>0</v>
      </c>
      <c r="J33" s="23">
        <f t="shared" si="28"/>
        <v>100</v>
      </c>
      <c r="K33" s="19">
        <v>28622</v>
      </c>
      <c r="L33" s="19">
        <v>25345.7</v>
      </c>
      <c r="M33" s="19">
        <v>25345.7</v>
      </c>
      <c r="N33" s="19">
        <f t="shared" si="29"/>
        <v>-3276.2999999999993</v>
      </c>
      <c r="O33" s="19">
        <f t="shared" si="32"/>
        <v>88.553210816854161</v>
      </c>
      <c r="P33" s="19">
        <f t="shared" si="30"/>
        <v>0</v>
      </c>
      <c r="Q33" s="19">
        <f t="shared" si="33"/>
        <v>100</v>
      </c>
    </row>
    <row r="34" spans="1:17" ht="126" x14ac:dyDescent="0.25">
      <c r="A34" s="1">
        <v>13</v>
      </c>
      <c r="B34" s="2" t="s">
        <v>51</v>
      </c>
      <c r="C34" s="2" t="s">
        <v>33</v>
      </c>
      <c r="D34" s="21">
        <v>46</v>
      </c>
      <c r="E34" s="21">
        <v>28</v>
      </c>
      <c r="F34" s="21">
        <v>28</v>
      </c>
      <c r="G34" s="21">
        <f t="shared" si="21"/>
        <v>-18</v>
      </c>
      <c r="H34" s="22">
        <f t="shared" si="31"/>
        <v>60.869565217391312</v>
      </c>
      <c r="I34" s="23">
        <f t="shared" si="22"/>
        <v>0</v>
      </c>
      <c r="J34" s="23">
        <f t="shared" si="23"/>
        <v>100</v>
      </c>
      <c r="K34" s="19">
        <v>2035</v>
      </c>
      <c r="L34" s="19">
        <v>1190.7</v>
      </c>
      <c r="M34" s="19">
        <v>1190.7</v>
      </c>
      <c r="N34" s="19">
        <f t="shared" si="24"/>
        <v>-844.3</v>
      </c>
      <c r="O34" s="19">
        <f t="shared" ref="O34" si="34">SUM(M34/K34)*100</f>
        <v>58.511056511056516</v>
      </c>
      <c r="P34" s="19">
        <f t="shared" si="25"/>
        <v>0</v>
      </c>
      <c r="Q34" s="19">
        <f t="shared" ref="Q34" si="35">SUM(M34/L34)*100</f>
        <v>100</v>
      </c>
    </row>
    <row r="35" spans="1:17" ht="32.25" customHeight="1" x14ac:dyDescent="0.25">
      <c r="A35" s="1">
        <v>14</v>
      </c>
      <c r="B35" s="2" t="s">
        <v>34</v>
      </c>
      <c r="C35" s="2" t="s">
        <v>19</v>
      </c>
      <c r="D35" s="21">
        <v>967</v>
      </c>
      <c r="E35" s="21">
        <v>1167</v>
      </c>
      <c r="F35" s="21">
        <v>1167</v>
      </c>
      <c r="G35" s="21">
        <f>SUM(F35-D35)</f>
        <v>200</v>
      </c>
      <c r="H35" s="22">
        <f t="shared" si="31"/>
        <v>120.68252326783868</v>
      </c>
      <c r="I35" s="23">
        <f t="shared" ref="I35" si="36">SUM(F35-E35)</f>
        <v>0</v>
      </c>
      <c r="J35" s="23">
        <v>0</v>
      </c>
      <c r="K35" s="19">
        <v>42468.5</v>
      </c>
      <c r="L35" s="19">
        <v>49628.2</v>
      </c>
      <c r="M35" s="19">
        <v>49628.2</v>
      </c>
      <c r="N35" s="19">
        <f t="shared" ref="N35" si="37">SUM(M35-K35)</f>
        <v>7159.6999999999971</v>
      </c>
      <c r="O35" s="19">
        <f t="shared" ref="O35" si="38">SUM(M35/K35)*100</f>
        <v>116.85884832287459</v>
      </c>
      <c r="P35" s="19">
        <f t="shared" ref="P35" si="39">SUM(M35-L35)</f>
        <v>0</v>
      </c>
      <c r="Q35" s="19"/>
    </row>
    <row r="36" spans="1:17" ht="31.5" hidden="1" x14ac:dyDescent="0.25">
      <c r="A36" s="1">
        <v>15</v>
      </c>
      <c r="B36" s="2" t="s">
        <v>0</v>
      </c>
      <c r="C36" s="2" t="s">
        <v>37</v>
      </c>
      <c r="D36" s="21">
        <v>0</v>
      </c>
      <c r="E36" s="21">
        <v>0</v>
      </c>
      <c r="F36" s="21">
        <v>0</v>
      </c>
      <c r="G36" s="21">
        <f>SUM(F36-D36)</f>
        <v>0</v>
      </c>
      <c r="H36" s="22" t="e">
        <f t="shared" si="31"/>
        <v>#DIV/0!</v>
      </c>
      <c r="I36" s="23">
        <f>SUM(F36-E36)</f>
        <v>0</v>
      </c>
      <c r="J36" s="23" t="e">
        <f>SUM(F36/E36)*100</f>
        <v>#DIV/0!</v>
      </c>
      <c r="K36" s="19">
        <v>0</v>
      </c>
      <c r="L36" s="19">
        <v>0</v>
      </c>
      <c r="M36" s="19">
        <v>0</v>
      </c>
      <c r="N36" s="19">
        <f>SUM(M36-K36)</f>
        <v>0</v>
      </c>
      <c r="O36" s="19" t="e">
        <f>SUM(M36/K36)*100</f>
        <v>#DIV/0!</v>
      </c>
      <c r="P36" s="19">
        <f>SUM(M36-L36)</f>
        <v>0</v>
      </c>
      <c r="Q36" s="19" t="e">
        <f>SUM(M36/L36)*100</f>
        <v>#DIV/0!</v>
      </c>
    </row>
    <row r="37" spans="1:17" ht="32.25" thickBot="1" x14ac:dyDescent="0.3">
      <c r="A37" s="1">
        <v>15</v>
      </c>
      <c r="B37" s="34" t="s">
        <v>52</v>
      </c>
      <c r="C37" s="34" t="s">
        <v>53</v>
      </c>
      <c r="D37" s="38">
        <v>145</v>
      </c>
      <c r="E37" s="38">
        <v>162</v>
      </c>
      <c r="F37" s="38">
        <v>162</v>
      </c>
      <c r="G37" s="38">
        <f t="shared" si="21"/>
        <v>17</v>
      </c>
      <c r="H37" s="39">
        <v>0</v>
      </c>
      <c r="I37" s="40">
        <f t="shared" si="22"/>
        <v>0</v>
      </c>
      <c r="J37" s="40">
        <f t="shared" si="23"/>
        <v>100</v>
      </c>
      <c r="K37" s="41">
        <v>6414.5</v>
      </c>
      <c r="L37" s="41">
        <v>6889.3</v>
      </c>
      <c r="M37" s="41">
        <v>6889.3</v>
      </c>
      <c r="N37" s="41">
        <f t="shared" si="24"/>
        <v>474.80000000000018</v>
      </c>
      <c r="O37" s="41">
        <v>0</v>
      </c>
      <c r="P37" s="41">
        <f t="shared" si="25"/>
        <v>0</v>
      </c>
      <c r="Q37" s="41">
        <v>0</v>
      </c>
    </row>
    <row r="38" spans="1:17" ht="34.5" customHeight="1" x14ac:dyDescent="0.25">
      <c r="A38" s="90">
        <v>16</v>
      </c>
      <c r="B38" s="88" t="s">
        <v>34</v>
      </c>
      <c r="C38" s="56" t="s">
        <v>29</v>
      </c>
      <c r="D38" s="43">
        <v>122000</v>
      </c>
      <c r="E38" s="43">
        <v>97278</v>
      </c>
      <c r="F38" s="43">
        <v>97278</v>
      </c>
      <c r="G38" s="43">
        <f t="shared" si="21"/>
        <v>-24722</v>
      </c>
      <c r="H38" s="44">
        <f t="shared" ref="H38:H41" si="40">SUM(F38/D38)*100</f>
        <v>79.736065573770489</v>
      </c>
      <c r="I38" s="45">
        <f>SUM(F38-E38)</f>
        <v>0</v>
      </c>
      <c r="J38" s="45">
        <f>SUM(F38/E38)*100</f>
        <v>100</v>
      </c>
      <c r="K38" s="46">
        <v>37340.9</v>
      </c>
      <c r="L38" s="46">
        <v>30448</v>
      </c>
      <c r="M38" s="46">
        <v>30448</v>
      </c>
      <c r="N38" s="46">
        <f>SUM(M38-K38)</f>
        <v>-6892.9000000000015</v>
      </c>
      <c r="O38" s="46">
        <f t="shared" ref="O38:O43" si="41">SUM(M38/K38)*100</f>
        <v>81.540616321513397</v>
      </c>
      <c r="P38" s="46">
        <f>SUM(M38-L38)</f>
        <v>0</v>
      </c>
      <c r="Q38" s="47">
        <f>SUM(M38/L38)*100</f>
        <v>100</v>
      </c>
    </row>
    <row r="39" spans="1:17" ht="19.5" customHeight="1" x14ac:dyDescent="0.25">
      <c r="A39" s="91"/>
      <c r="B39" s="89"/>
      <c r="C39" s="2" t="s">
        <v>39</v>
      </c>
      <c r="D39" s="21">
        <v>600000</v>
      </c>
      <c r="E39" s="21">
        <v>600000</v>
      </c>
      <c r="F39" s="21">
        <v>600000</v>
      </c>
      <c r="G39" s="21">
        <f t="shared" si="21"/>
        <v>0</v>
      </c>
      <c r="H39" s="22">
        <f t="shared" si="40"/>
        <v>100</v>
      </c>
      <c r="I39" s="23">
        <f t="shared" ref="I39:I41" si="42">SUM(F39-E39)</f>
        <v>0</v>
      </c>
      <c r="J39" s="23">
        <f t="shared" ref="J39" si="43">SUM(F39/E39)*100</f>
        <v>100</v>
      </c>
      <c r="K39" s="19">
        <v>1560</v>
      </c>
      <c r="L39" s="19">
        <v>1560</v>
      </c>
      <c r="M39" s="19">
        <v>1560</v>
      </c>
      <c r="N39" s="19">
        <f t="shared" ref="N39:N40" si="44">SUM(M39-K39)</f>
        <v>0</v>
      </c>
      <c r="O39" s="19">
        <f t="shared" si="41"/>
        <v>100</v>
      </c>
      <c r="P39" s="19">
        <f t="shared" ref="P39:P41" si="45">SUM(M39-L39)</f>
        <v>0</v>
      </c>
      <c r="Q39" s="48">
        <f t="shared" ref="Q39:Q41" si="46">SUM(M39/L39)*100</f>
        <v>100</v>
      </c>
    </row>
    <row r="40" spans="1:17" ht="48" customHeight="1" x14ac:dyDescent="0.25">
      <c r="A40" s="32">
        <v>17</v>
      </c>
      <c r="B40" s="57" t="s">
        <v>35</v>
      </c>
      <c r="C40" s="2" t="s">
        <v>36</v>
      </c>
      <c r="D40" s="21">
        <v>40</v>
      </c>
      <c r="E40" s="21">
        <v>30</v>
      </c>
      <c r="F40" s="21">
        <v>30</v>
      </c>
      <c r="G40" s="21">
        <f t="shared" si="21"/>
        <v>-10</v>
      </c>
      <c r="H40" s="22">
        <f t="shared" si="40"/>
        <v>75</v>
      </c>
      <c r="I40" s="23">
        <f t="shared" si="42"/>
        <v>0</v>
      </c>
      <c r="J40" s="23">
        <f>SUM(F40/E40)*100</f>
        <v>100</v>
      </c>
      <c r="K40" s="19">
        <v>1108.4000000000001</v>
      </c>
      <c r="L40" s="19">
        <v>2468.4</v>
      </c>
      <c r="M40" s="19">
        <v>2468.4</v>
      </c>
      <c r="N40" s="19">
        <f t="shared" si="44"/>
        <v>1360</v>
      </c>
      <c r="O40" s="19">
        <f t="shared" si="41"/>
        <v>222.6993865030675</v>
      </c>
      <c r="P40" s="28">
        <f t="shared" si="45"/>
        <v>0</v>
      </c>
      <c r="Q40" s="48">
        <f t="shared" si="46"/>
        <v>100</v>
      </c>
    </row>
    <row r="41" spans="1:17" ht="48" thickBot="1" x14ac:dyDescent="0.3">
      <c r="A41" s="32">
        <v>18</v>
      </c>
      <c r="B41" s="63" t="s">
        <v>48</v>
      </c>
      <c r="C41" s="59" t="s">
        <v>36</v>
      </c>
      <c r="D41" s="64">
        <v>118</v>
      </c>
      <c r="E41" s="64">
        <v>84</v>
      </c>
      <c r="F41" s="64">
        <v>84</v>
      </c>
      <c r="G41" s="64">
        <f t="shared" si="21"/>
        <v>-34</v>
      </c>
      <c r="H41" s="51">
        <f t="shared" si="40"/>
        <v>71.186440677966104</v>
      </c>
      <c r="I41" s="64">
        <f t="shared" si="42"/>
        <v>0</v>
      </c>
      <c r="J41" s="52">
        <f>SUM(F41/E41)*100</f>
        <v>100</v>
      </c>
      <c r="K41" s="64">
        <v>944.3</v>
      </c>
      <c r="L41" s="64">
        <v>944.3</v>
      </c>
      <c r="M41" s="64">
        <v>944.3</v>
      </c>
      <c r="N41" s="53">
        <f t="shared" ref="N41" si="47">SUM(M41-K41)</f>
        <v>0</v>
      </c>
      <c r="O41" s="53">
        <f t="shared" si="41"/>
        <v>100</v>
      </c>
      <c r="P41" s="53">
        <f t="shared" si="45"/>
        <v>0</v>
      </c>
      <c r="Q41" s="54">
        <f t="shared" si="46"/>
        <v>100</v>
      </c>
    </row>
    <row r="42" spans="1:17" ht="27" customHeight="1" x14ac:dyDescent="0.25">
      <c r="A42" s="14" t="s">
        <v>62</v>
      </c>
      <c r="B42" s="60" t="s">
        <v>63</v>
      </c>
      <c r="C42" s="60"/>
      <c r="D42" s="61" t="s">
        <v>45</v>
      </c>
      <c r="E42" s="61" t="s">
        <v>45</v>
      </c>
      <c r="F42" s="61" t="s">
        <v>45</v>
      </c>
      <c r="G42" s="61" t="s">
        <v>45</v>
      </c>
      <c r="H42" s="62" t="s">
        <v>45</v>
      </c>
      <c r="I42" s="62" t="s">
        <v>45</v>
      </c>
      <c r="J42" s="62" t="s">
        <v>45</v>
      </c>
      <c r="K42" s="11">
        <f t="shared" ref="K42:M42" si="48">SUM(K43+K56+K59+K44+K45+K46+K47+K48+K49+K50+K51+K52+K53+K54+K55+K60+K61+K62+K57+K58+K63)</f>
        <v>0</v>
      </c>
      <c r="L42" s="11">
        <f t="shared" si="48"/>
        <v>9382.2999999999993</v>
      </c>
      <c r="M42" s="11">
        <f t="shared" si="48"/>
        <v>9382.2999999999993</v>
      </c>
      <c r="N42" s="11">
        <f>SUM(M42-K42)</f>
        <v>9382.2999999999993</v>
      </c>
      <c r="O42" s="111" t="e">
        <f t="shared" si="41"/>
        <v>#DIV/0!</v>
      </c>
      <c r="P42" s="11">
        <f>SUM(M42-L42)</f>
        <v>0</v>
      </c>
      <c r="Q42" s="11">
        <f>SUM(M42/L42)*100</f>
        <v>100</v>
      </c>
    </row>
    <row r="43" spans="1:17" ht="32.25" customHeight="1" x14ac:dyDescent="0.25">
      <c r="A43" s="30">
        <v>1</v>
      </c>
      <c r="B43" s="75" t="s">
        <v>65</v>
      </c>
      <c r="C43" s="76" t="s">
        <v>67</v>
      </c>
      <c r="D43" s="77">
        <v>0</v>
      </c>
      <c r="E43" s="67">
        <f>47953.75+719198.25</f>
        <v>767152</v>
      </c>
      <c r="F43" s="29">
        <v>767152</v>
      </c>
      <c r="G43" s="29">
        <f>SUM(F43-D43)</f>
        <v>767152</v>
      </c>
      <c r="H43" s="110" t="e">
        <f t="shared" ref="H43" si="49">SUM(F43/D43)*100</f>
        <v>#DIV/0!</v>
      </c>
      <c r="I43" s="29">
        <f t="shared" ref="I43" si="50">SUM(F43-E43)</f>
        <v>0</v>
      </c>
      <c r="J43" s="23">
        <f>SUM(F43/E43)*100</f>
        <v>100</v>
      </c>
      <c r="K43" s="29">
        <v>0</v>
      </c>
      <c r="L43" s="29">
        <v>9382.2999999999993</v>
      </c>
      <c r="M43" s="29">
        <v>9382.2999999999993</v>
      </c>
      <c r="N43" s="19">
        <f t="shared" ref="N43" si="51">SUM(M43-K43)</f>
        <v>9382.2999999999993</v>
      </c>
      <c r="O43" s="112" t="e">
        <f t="shared" si="41"/>
        <v>#DIV/0!</v>
      </c>
      <c r="P43" s="19">
        <f t="shared" ref="P43" si="52">SUM(M43-L43)</f>
        <v>0</v>
      </c>
      <c r="Q43" s="19">
        <f t="shared" ref="Q43" si="53">SUM(M43/L43)*100</f>
        <v>100</v>
      </c>
    </row>
    <row r="44" spans="1:17" ht="15.75" x14ac:dyDescent="0.25">
      <c r="A44" s="3"/>
      <c r="B44" s="4"/>
      <c r="C44" s="4"/>
      <c r="D44" s="72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.75" x14ac:dyDescent="0.25">
      <c r="B45" s="78"/>
      <c r="C45" s="78"/>
      <c r="D45" s="79"/>
    </row>
    <row r="46" spans="1:17" ht="15.75" x14ac:dyDescent="0.25">
      <c r="B46" s="80"/>
      <c r="C46" s="80"/>
      <c r="D46" s="80"/>
    </row>
  </sheetData>
  <mergeCells count="22">
    <mergeCell ref="B38:B39"/>
    <mergeCell ref="A38:A39"/>
    <mergeCell ref="A2:Q2"/>
    <mergeCell ref="F6:F7"/>
    <mergeCell ref="G6:J6"/>
    <mergeCell ref="G7:H7"/>
    <mergeCell ref="I7:J7"/>
    <mergeCell ref="D4:J4"/>
    <mergeCell ref="A4:A8"/>
    <mergeCell ref="K4:Q4"/>
    <mergeCell ref="K5:K7"/>
    <mergeCell ref="C4:C8"/>
    <mergeCell ref="B4:B8"/>
    <mergeCell ref="D5:D7"/>
    <mergeCell ref="E5:J5"/>
    <mergeCell ref="E6:E7"/>
    <mergeCell ref="M6:M7"/>
    <mergeCell ref="N6:Q6"/>
    <mergeCell ref="N7:O7"/>
    <mergeCell ref="P7:Q7"/>
    <mergeCell ref="L5:Q5"/>
    <mergeCell ref="L6:L7"/>
  </mergeCells>
  <pageMargins left="0.19685039370078741" right="0.19685039370078741" top="0.19685039370078741" bottom="0.19685039370078741" header="0.31496062992125984" footer="0.31496062992125984"/>
  <pageSetup paperSize="9" scale="5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2021-03-29T21:57:02Z</dcterms:modified>
</cp:coreProperties>
</file>