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25" windowWidth="14805" windowHeight="7590"/>
  </bookViews>
  <sheets>
    <sheet name="для размещения на сайте" sheetId="1" r:id="rId1"/>
  </sheets>
  <calcPr calcId="144525"/>
</workbook>
</file>

<file path=xl/calcChain.xml><?xml version="1.0" encoding="utf-8"?>
<calcChain xmlns="http://schemas.openxmlformats.org/spreadsheetml/2006/main">
  <c r="N11" i="1" l="1"/>
  <c r="I11" i="1"/>
  <c r="G11" i="1"/>
  <c r="K35" i="1" l="1"/>
  <c r="K38" i="1"/>
  <c r="K39" i="1"/>
  <c r="O42" i="1" l="1"/>
  <c r="N42" i="1"/>
  <c r="O40" i="1"/>
  <c r="O41" i="1"/>
  <c r="K10" i="1"/>
  <c r="M35" i="1"/>
  <c r="M34" i="1"/>
  <c r="M33" i="1"/>
  <c r="M32" i="1"/>
  <c r="M26" i="1"/>
  <c r="M25" i="1"/>
  <c r="M23" i="1"/>
  <c r="M19" i="1" s="1"/>
  <c r="L23" i="1"/>
  <c r="L34" i="1"/>
  <c r="L19" i="1"/>
  <c r="P42" i="1"/>
  <c r="Q42" i="1"/>
  <c r="G42" i="1"/>
  <c r="H42" i="1"/>
  <c r="I42" i="1"/>
  <c r="J42" i="1"/>
  <c r="F23" i="1"/>
  <c r="E23" i="1"/>
  <c r="L25" i="1"/>
  <c r="G25" i="1"/>
  <c r="F25" i="1"/>
  <c r="J25" i="1" s="1"/>
  <c r="E25" i="1"/>
  <c r="L35" i="1"/>
  <c r="F35" i="1"/>
  <c r="E35" i="1"/>
  <c r="F34" i="1"/>
  <c r="E34" i="1"/>
  <c r="L33" i="1"/>
  <c r="F33" i="1"/>
  <c r="E33" i="1"/>
  <c r="L32" i="1"/>
  <c r="F32" i="1"/>
  <c r="E32" i="1"/>
  <c r="I25" i="1" l="1"/>
  <c r="H25" i="1"/>
  <c r="L26" i="1"/>
  <c r="F26" i="1"/>
  <c r="E26" i="1"/>
  <c r="K34" i="1"/>
  <c r="K33" i="1"/>
  <c r="K23" i="1"/>
  <c r="K19" i="1"/>
  <c r="K9" i="1" s="1"/>
  <c r="D35" i="1"/>
  <c r="D34" i="1"/>
  <c r="D33" i="1"/>
  <c r="H41" i="1" l="1"/>
  <c r="H36" i="1"/>
  <c r="Q11" i="1" l="1"/>
  <c r="P11" i="1"/>
  <c r="O11" i="1"/>
  <c r="J11" i="1"/>
  <c r="H11" i="1"/>
  <c r="N37" i="1" l="1"/>
  <c r="O37" i="1"/>
  <c r="P37" i="1"/>
  <c r="G37" i="1"/>
  <c r="H37" i="1"/>
  <c r="I37" i="1"/>
  <c r="N36" i="1"/>
  <c r="O36" i="1"/>
  <c r="P36" i="1"/>
  <c r="Q36" i="1"/>
  <c r="G36" i="1"/>
  <c r="I36" i="1"/>
  <c r="J36" i="1"/>
  <c r="Q38" i="1"/>
  <c r="P38" i="1"/>
  <c r="O38" i="1"/>
  <c r="N38" i="1"/>
  <c r="Q35" i="1"/>
  <c r="P35" i="1"/>
  <c r="O35" i="1"/>
  <c r="N35" i="1"/>
  <c r="Q34" i="1"/>
  <c r="P34" i="1"/>
  <c r="O34" i="1"/>
  <c r="N34" i="1"/>
  <c r="Q33" i="1"/>
  <c r="P33" i="1"/>
  <c r="O33" i="1"/>
  <c r="N33" i="1"/>
  <c r="Q32" i="1"/>
  <c r="P32" i="1"/>
  <c r="O32" i="1"/>
  <c r="N32" i="1"/>
  <c r="Q31" i="1"/>
  <c r="P31" i="1"/>
  <c r="O31" i="1"/>
  <c r="N31" i="1"/>
  <c r="Q30" i="1"/>
  <c r="P30" i="1"/>
  <c r="O30" i="1"/>
  <c r="N30" i="1"/>
  <c r="Q29" i="1"/>
  <c r="P29" i="1"/>
  <c r="O29" i="1"/>
  <c r="N29" i="1"/>
  <c r="Q28" i="1"/>
  <c r="P28" i="1"/>
  <c r="O28" i="1"/>
  <c r="N28" i="1"/>
  <c r="Q27" i="1"/>
  <c r="P27" i="1"/>
  <c r="O27" i="1"/>
  <c r="N27" i="1"/>
  <c r="Q26" i="1"/>
  <c r="P26" i="1"/>
  <c r="O26" i="1"/>
  <c r="N26" i="1"/>
  <c r="P25" i="1"/>
  <c r="N25" i="1"/>
  <c r="Q24" i="1"/>
  <c r="P24" i="1"/>
  <c r="O24" i="1"/>
  <c r="N24" i="1"/>
  <c r="Q23" i="1"/>
  <c r="P23" i="1"/>
  <c r="N23" i="1"/>
  <c r="P22" i="1"/>
  <c r="N22" i="1"/>
  <c r="Q21" i="1"/>
  <c r="P21" i="1"/>
  <c r="O21" i="1"/>
  <c r="N21" i="1"/>
  <c r="P20" i="1"/>
  <c r="H38" i="1"/>
  <c r="G38" i="1"/>
  <c r="J35" i="1"/>
  <c r="I35" i="1"/>
  <c r="H35" i="1"/>
  <c r="G35" i="1"/>
  <c r="J34" i="1"/>
  <c r="I34" i="1"/>
  <c r="H34" i="1"/>
  <c r="G34" i="1"/>
  <c r="J33" i="1"/>
  <c r="I33" i="1"/>
  <c r="H33" i="1"/>
  <c r="G33" i="1"/>
  <c r="J32" i="1"/>
  <c r="I32" i="1"/>
  <c r="H32" i="1"/>
  <c r="G32" i="1"/>
  <c r="J31" i="1"/>
  <c r="I31" i="1"/>
  <c r="H31" i="1"/>
  <c r="G31" i="1"/>
  <c r="J30" i="1"/>
  <c r="I30" i="1"/>
  <c r="H30" i="1"/>
  <c r="G30" i="1"/>
  <c r="J29" i="1"/>
  <c r="I29" i="1"/>
  <c r="H29" i="1"/>
  <c r="G29" i="1"/>
  <c r="J28" i="1"/>
  <c r="I28" i="1"/>
  <c r="H28" i="1"/>
  <c r="G28" i="1"/>
  <c r="J27" i="1"/>
  <c r="I27" i="1"/>
  <c r="H27" i="1"/>
  <c r="G27" i="1"/>
  <c r="J26" i="1"/>
  <c r="I26" i="1"/>
  <c r="J24" i="1"/>
  <c r="I24" i="1"/>
  <c r="H24" i="1"/>
  <c r="G24" i="1"/>
  <c r="J23" i="1"/>
  <c r="I23" i="1"/>
  <c r="G23" i="1"/>
  <c r="J22" i="1"/>
  <c r="I22" i="1"/>
  <c r="G22" i="1"/>
  <c r="J21" i="1"/>
  <c r="I21" i="1"/>
  <c r="J20" i="1"/>
  <c r="I20" i="1"/>
  <c r="G20" i="1"/>
  <c r="E38" i="1" l="1"/>
  <c r="I38" i="1" l="1"/>
  <c r="J38" i="1"/>
  <c r="G26" i="1" l="1"/>
  <c r="H26" i="1"/>
  <c r="G21" i="1"/>
  <c r="H21" i="1"/>
  <c r="L10" i="1" l="1"/>
  <c r="P12" i="1"/>
  <c r="O12" i="1"/>
  <c r="N13" i="1"/>
  <c r="O13" i="1"/>
  <c r="P13" i="1"/>
  <c r="Q13" i="1"/>
  <c r="N14" i="1"/>
  <c r="O14" i="1"/>
  <c r="P14" i="1"/>
  <c r="Q14" i="1"/>
  <c r="N15" i="1"/>
  <c r="O15" i="1"/>
  <c r="P15" i="1"/>
  <c r="Q15" i="1"/>
  <c r="N16" i="1"/>
  <c r="O16" i="1"/>
  <c r="P16" i="1"/>
  <c r="Q16" i="1"/>
  <c r="N18" i="1"/>
  <c r="O18" i="1"/>
  <c r="P18" i="1"/>
  <c r="Q18" i="1"/>
  <c r="J17" i="1"/>
  <c r="G12" i="1"/>
  <c r="H12" i="1"/>
  <c r="I12" i="1"/>
  <c r="J12" i="1"/>
  <c r="G13" i="1"/>
  <c r="H13" i="1"/>
  <c r="I13" i="1"/>
  <c r="J13" i="1"/>
  <c r="G14" i="1"/>
  <c r="H14" i="1"/>
  <c r="I14" i="1"/>
  <c r="J14" i="1"/>
  <c r="G15" i="1"/>
  <c r="H15" i="1"/>
  <c r="I15" i="1"/>
  <c r="J15" i="1"/>
  <c r="G16" i="1"/>
  <c r="H16" i="1"/>
  <c r="I16" i="1"/>
  <c r="J16" i="1"/>
  <c r="G17" i="1"/>
  <c r="G18" i="1"/>
  <c r="H18" i="1"/>
  <c r="I18" i="1"/>
  <c r="J18" i="1"/>
  <c r="M10" i="1" l="1"/>
  <c r="M9" i="1" s="1"/>
  <c r="I17" i="1"/>
  <c r="Q17" i="1"/>
  <c r="Q19" i="1"/>
  <c r="P19" i="1"/>
  <c r="L9" i="1"/>
  <c r="H17" i="1"/>
  <c r="P17" i="1"/>
  <c r="O17" i="1"/>
  <c r="N17" i="1"/>
  <c r="N12" i="1"/>
  <c r="Q12" i="1"/>
  <c r="Q40" i="1"/>
  <c r="Q41" i="1"/>
  <c r="Q39" i="1"/>
  <c r="P40" i="1"/>
  <c r="P41" i="1"/>
  <c r="P39" i="1"/>
  <c r="N40" i="1"/>
  <c r="N41" i="1"/>
  <c r="O39" i="1"/>
  <c r="N39" i="1"/>
  <c r="J40" i="1"/>
  <c r="J41" i="1"/>
  <c r="I40" i="1"/>
  <c r="I41" i="1"/>
  <c r="Q10" i="1" l="1"/>
  <c r="P10" i="1"/>
  <c r="P9" i="1"/>
  <c r="O10" i="1"/>
  <c r="N10" i="1"/>
  <c r="Q9" i="1"/>
  <c r="J39" i="1"/>
  <c r="I39" i="1"/>
  <c r="H40" i="1"/>
  <c r="H39" i="1"/>
  <c r="G40" i="1"/>
  <c r="G41" i="1"/>
  <c r="G39" i="1"/>
  <c r="N20" i="1"/>
  <c r="O9" i="1"/>
  <c r="N19" i="1"/>
  <c r="O19" i="1"/>
  <c r="N9" i="1" l="1"/>
</calcChain>
</file>

<file path=xl/comments1.xml><?xml version="1.0" encoding="utf-8"?>
<comments xmlns="http://schemas.openxmlformats.org/spreadsheetml/2006/main">
  <authors>
    <author>Автор</author>
  </authors>
  <commentList>
    <comment ref="D11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1436-доу+12-Тунгор+45-некрасовка</t>
        </r>
      </text>
    </comment>
    <comment ref="F11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1436-доу+12-Тунгор+45-некрасовка</t>
        </r>
      </text>
    </comment>
    <comment ref="D17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ддю+доп.обр.</t>
        </r>
      </text>
    </comment>
    <comment ref="F17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ддю+доп.обр.</t>
        </r>
      </text>
    </comment>
    <comment ref="L18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фот столовых из з/п</t>
        </r>
      </text>
    </comment>
  </commentList>
</comments>
</file>

<file path=xl/sharedStrings.xml><?xml version="1.0" encoding="utf-8"?>
<sst xmlns="http://schemas.openxmlformats.org/spreadsheetml/2006/main" count="121" uniqueCount="65">
  <si>
    <t>Наименование муниципальной услуги</t>
  </si>
  <si>
    <t>Организация отдыха детей и молодежи</t>
  </si>
  <si>
    <t>Предоставление питания</t>
  </si>
  <si>
    <t>Единица измерения муниципальной услуги</t>
  </si>
  <si>
    <t>Сравнение</t>
  </si>
  <si>
    <t>%</t>
  </si>
  <si>
    <t>Реализация основных общеобразовательных программ дошкольного образования</t>
  </si>
  <si>
    <t>Присмотр и уход</t>
  </si>
  <si>
    <t>№ п/п</t>
  </si>
  <si>
    <t>число обучающихся</t>
  </si>
  <si>
    <t>Значение показателя объема муниципальной услуги (работы)</t>
  </si>
  <si>
    <t>Объем субсидии на оказание муниципальной услуги (выполнение работы), тыс. рублей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</si>
  <si>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</si>
  <si>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</si>
  <si>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</si>
  <si>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</si>
  <si>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Показ (организация показа) концертов и концертных программ</t>
  </si>
  <si>
    <t xml:space="preserve">Организация и проведение культурно-массовых меропрятий </t>
  </si>
  <si>
    <t xml:space="preserve">количество публичных выступлений </t>
  </si>
  <si>
    <t>число зрителей</t>
  </si>
  <si>
    <t>количество мероприятий</t>
  </si>
  <si>
    <t>количество участников мероприятий</t>
  </si>
  <si>
    <t>Организация деятельности клубных формирований и формирований самодеятельного народного творчества</t>
  </si>
  <si>
    <t xml:space="preserve">количество клубных формирований </t>
  </si>
  <si>
    <t>число участников</t>
  </si>
  <si>
    <t>Библиотечное, библиографическое и информационное обслуживание пользователей библиотеки</t>
  </si>
  <si>
    <t>количество посещений</t>
  </si>
  <si>
    <t>Библиографическая обработка документов и создание каталогов</t>
  </si>
  <si>
    <t>количество документов</t>
  </si>
  <si>
    <t>Публичный показ музейных предметов, музейных коллекций</t>
  </si>
  <si>
    <t>число посетителей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</si>
  <si>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</si>
  <si>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</t>
  </si>
  <si>
    <t>Создание экспозиций (выставок) музеев, организация выездных выставок</t>
  </si>
  <si>
    <t>количество экспозиций</t>
  </si>
  <si>
    <t xml:space="preserve">Реализация дополнительных предпрофессиональных программ в области искусств </t>
  </si>
  <si>
    <t>количество человеко-часов</t>
  </si>
  <si>
    <t xml:space="preserve">Реализация дополнительных общеразвивающих  программ  </t>
  </si>
  <si>
    <t>Реализация дополнительных предпрофессиональных программ в области физической культуры и спорта</t>
  </si>
  <si>
    <t>Спортивная подготовка по олимпийским видам спорта</t>
  </si>
  <si>
    <t>число лиц, прошедших спортивную подготовку на этапах спортивной подготовки (человек)</t>
  </si>
  <si>
    <t>Обеспечение доступа к объектам спорта</t>
  </si>
  <si>
    <t>Проведение тестирования выполнения нормативов испытаний (тестов) комплекса ГТО</t>
  </si>
  <si>
    <t>количество проведенных меропрятий</t>
  </si>
  <si>
    <t>количество человек</t>
  </si>
  <si>
    <t>показатель</t>
  </si>
  <si>
    <t>кв.м./ч</t>
  </si>
  <si>
    <t>Общий объем средств субсидий на финансовое обеспечение выполнения муниципального задания, предусмотренных в бюджете муницпального образования городской округ "Охинский"</t>
  </si>
  <si>
    <t>Управление образования МО городской округ "Охинский"</t>
  </si>
  <si>
    <t>Управление по культуре, спорту и делам молодежи МО городской округ "Охинский"</t>
  </si>
  <si>
    <t>I.</t>
  </si>
  <si>
    <t>II.</t>
  </si>
  <si>
    <t>x</t>
  </si>
  <si>
    <t>Формирование, учет, изучение, обеспечение физического сохранения и безопасности фондов библиотек, включая оцифрoвку фондов</t>
  </si>
  <si>
    <t>сумма</t>
  </si>
  <si>
    <t>Показ (организация показа) спектаклей (театральных постановок)</t>
  </si>
  <si>
    <t xml:space="preserve">Сведения о выполненных в 2018 году объемах муниципальных заданий на оказание муниципальных услуг (работ), объемах субсидий на их финансовое обеспечение выполнения муниципальных заданий </t>
  </si>
  <si>
    <t>2017 год (факт)</t>
  </si>
  <si>
    <t>2018 (план)</t>
  </si>
  <si>
    <t>2018 (факт)</t>
  </si>
  <si>
    <t>к 2017 году</t>
  </si>
  <si>
    <t>к 2018 году (плану)</t>
  </si>
  <si>
    <t>2018 год</t>
  </si>
  <si>
    <t>Проведение занятий физкультурно-спортивной направленности по месту проживания граждан</t>
  </si>
  <si>
    <t xml:space="preserve">Организация и проведение  меропрятий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</si>
</sst>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14" fontId="4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wrapText="1"/>
    </xf>
    <xf numFmtId="1" fontId="12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0" xfId="0" applyAlignment="1"/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5" fontId="2" fillId="2" borderId="16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Q47"/>
  <sheetViews>
    <sheetView tabSelected="1" zoomScale="80" zoomScaleNormal="80" zoomScaleSheetLayoutView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S19" sqref="S19"/>
    </sheetView>
  </sheetViews>
  <sheetFormatPr defaultRowHeight="15" x14ac:dyDescent="0.25"/>
  <cols>
    <col min="1" max="1" width="4.5703125" customWidth="1"/>
    <col min="2" max="2" width="58.140625" customWidth="1"/>
    <col min="3" max="3" width="17.7109375" customWidth="1"/>
    <col min="4" max="4" width="16.42578125" customWidth="1"/>
    <col min="5" max="5" width="16.5703125" customWidth="1"/>
    <col min="6" max="6" width="16.7109375" customWidth="1"/>
    <col min="7" max="7" width="15.42578125" customWidth="1"/>
    <col min="8" max="8" width="13.140625" customWidth="1"/>
    <col min="9" max="9" width="15.7109375" customWidth="1"/>
    <col min="10" max="10" width="15.42578125" customWidth="1"/>
    <col min="11" max="11" width="16" bestFit="1" customWidth="1"/>
    <col min="12" max="12" width="14.5703125" bestFit="1" customWidth="1"/>
    <col min="13" max="14" width="12.42578125" bestFit="1" customWidth="1"/>
    <col min="15" max="15" width="10.42578125" customWidth="1"/>
    <col min="16" max="16" width="12.42578125" bestFit="1" customWidth="1"/>
    <col min="17" max="17" width="9.7109375" customWidth="1"/>
  </cols>
  <sheetData>
    <row r="2" spans="1:17" ht="15.75" x14ac:dyDescent="0.25">
      <c r="A2" s="35" t="s">
        <v>56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ht="16.5" thickBot="1" x14ac:dyDescent="0.3">
      <c r="B3" s="1"/>
      <c r="C3" s="1"/>
      <c r="D3" s="4"/>
    </row>
    <row r="4" spans="1:17" ht="33.75" customHeight="1" x14ac:dyDescent="0.25">
      <c r="A4" s="41" t="s">
        <v>8</v>
      </c>
      <c r="B4" s="46" t="s">
        <v>0</v>
      </c>
      <c r="C4" s="46" t="s">
        <v>3</v>
      </c>
      <c r="D4" s="39" t="s">
        <v>10</v>
      </c>
      <c r="E4" s="40"/>
      <c r="F4" s="40"/>
      <c r="G4" s="40"/>
      <c r="H4" s="40"/>
      <c r="I4" s="40"/>
      <c r="J4" s="40"/>
      <c r="K4" s="39" t="s">
        <v>11</v>
      </c>
      <c r="L4" s="40"/>
      <c r="M4" s="40"/>
      <c r="N4" s="40"/>
      <c r="O4" s="40"/>
      <c r="P4" s="40"/>
      <c r="Q4" s="40"/>
    </row>
    <row r="5" spans="1:17" ht="20.100000000000001" customHeight="1" x14ac:dyDescent="0.25">
      <c r="A5" s="42"/>
      <c r="B5" s="47"/>
      <c r="C5" s="47"/>
      <c r="D5" s="44" t="s">
        <v>57</v>
      </c>
      <c r="E5" s="52" t="s">
        <v>62</v>
      </c>
      <c r="F5" s="53"/>
      <c r="G5" s="53"/>
      <c r="H5" s="53"/>
      <c r="I5" s="53"/>
      <c r="J5" s="54"/>
      <c r="K5" s="44" t="s">
        <v>57</v>
      </c>
      <c r="L5" s="57" t="s">
        <v>62</v>
      </c>
      <c r="M5" s="58"/>
      <c r="N5" s="58"/>
      <c r="O5" s="58"/>
      <c r="P5" s="58"/>
      <c r="Q5" s="59"/>
    </row>
    <row r="6" spans="1:17" ht="20.100000000000001" customHeight="1" x14ac:dyDescent="0.25">
      <c r="A6" s="42"/>
      <c r="B6" s="47"/>
      <c r="C6" s="47"/>
      <c r="D6" s="45"/>
      <c r="E6" s="55" t="s">
        <v>58</v>
      </c>
      <c r="F6" s="37" t="s">
        <v>59</v>
      </c>
      <c r="G6" s="37" t="s">
        <v>4</v>
      </c>
      <c r="H6" s="38"/>
      <c r="I6" s="38"/>
      <c r="J6" s="38"/>
      <c r="K6" s="45"/>
      <c r="L6" s="55" t="s">
        <v>58</v>
      </c>
      <c r="M6" s="37" t="s">
        <v>59</v>
      </c>
      <c r="N6" s="37" t="s">
        <v>4</v>
      </c>
      <c r="O6" s="38"/>
      <c r="P6" s="38"/>
      <c r="Q6" s="38"/>
    </row>
    <row r="7" spans="1:17" ht="42" customHeight="1" x14ac:dyDescent="0.25">
      <c r="A7" s="42"/>
      <c r="B7" s="50"/>
      <c r="C7" s="48"/>
      <c r="D7" s="45"/>
      <c r="E7" s="56"/>
      <c r="F7" s="38"/>
      <c r="G7" s="37" t="s">
        <v>60</v>
      </c>
      <c r="H7" s="38"/>
      <c r="I7" s="37" t="s">
        <v>61</v>
      </c>
      <c r="J7" s="38"/>
      <c r="K7" s="45"/>
      <c r="L7" s="56"/>
      <c r="M7" s="38"/>
      <c r="N7" s="37" t="s">
        <v>60</v>
      </c>
      <c r="O7" s="38"/>
      <c r="P7" s="37" t="s">
        <v>61</v>
      </c>
      <c r="Q7" s="38"/>
    </row>
    <row r="8" spans="1:17" ht="35.25" customHeight="1" thickBot="1" x14ac:dyDescent="0.3">
      <c r="A8" s="43"/>
      <c r="B8" s="51"/>
      <c r="C8" s="49"/>
      <c r="D8" s="8" t="s">
        <v>45</v>
      </c>
      <c r="E8" s="9" t="s">
        <v>45</v>
      </c>
      <c r="F8" s="9" t="s">
        <v>45</v>
      </c>
      <c r="G8" s="9" t="s">
        <v>45</v>
      </c>
      <c r="H8" s="9" t="s">
        <v>5</v>
      </c>
      <c r="I8" s="9" t="s">
        <v>45</v>
      </c>
      <c r="J8" s="9" t="s">
        <v>5</v>
      </c>
      <c r="K8" s="14" t="s">
        <v>54</v>
      </c>
      <c r="L8" s="9" t="s">
        <v>54</v>
      </c>
      <c r="M8" s="9" t="s">
        <v>54</v>
      </c>
      <c r="N8" s="9" t="s">
        <v>54</v>
      </c>
      <c r="O8" s="9" t="s">
        <v>5</v>
      </c>
      <c r="P8" s="9" t="s">
        <v>54</v>
      </c>
      <c r="Q8" s="9" t="s">
        <v>5</v>
      </c>
    </row>
    <row r="9" spans="1:17" ht="68.25" customHeight="1" x14ac:dyDescent="0.25">
      <c r="A9" s="6"/>
      <c r="B9" s="11" t="s">
        <v>47</v>
      </c>
      <c r="C9" s="10"/>
      <c r="D9" s="62" t="s">
        <v>52</v>
      </c>
      <c r="E9" s="62" t="s">
        <v>52</v>
      </c>
      <c r="F9" s="62" t="s">
        <v>52</v>
      </c>
      <c r="G9" s="62" t="s">
        <v>52</v>
      </c>
      <c r="H9" s="62" t="s">
        <v>52</v>
      </c>
      <c r="I9" s="62" t="s">
        <v>52</v>
      </c>
      <c r="J9" s="62" t="s">
        <v>52</v>
      </c>
      <c r="K9" s="63">
        <f t="shared" ref="K9" si="0">SUM(K10+K19)</f>
        <v>1099915.1497</v>
      </c>
      <c r="L9" s="63">
        <f t="shared" ref="L9:M9" si="1">SUM(L10+L19)</f>
        <v>1284753.5</v>
      </c>
      <c r="M9" s="63">
        <f t="shared" si="1"/>
        <v>1284603.5</v>
      </c>
      <c r="N9" s="16">
        <f>SUM(M9-K9)</f>
        <v>184688.35030000005</v>
      </c>
      <c r="O9" s="16">
        <f>SUM(M9/K9)*100</f>
        <v>116.79114523973722</v>
      </c>
      <c r="P9" s="16">
        <f>SUM(M9-L9)</f>
        <v>-150</v>
      </c>
      <c r="Q9" s="16">
        <f>SUM(M9/L9)*100</f>
        <v>99.988324608572782</v>
      </c>
    </row>
    <row r="10" spans="1:17" ht="35.25" customHeight="1" x14ac:dyDescent="0.25">
      <c r="A10" s="13" t="s">
        <v>50</v>
      </c>
      <c r="B10" s="12" t="s">
        <v>48</v>
      </c>
      <c r="C10" s="7"/>
      <c r="D10" s="62" t="s">
        <v>52</v>
      </c>
      <c r="E10" s="62" t="s">
        <v>52</v>
      </c>
      <c r="F10" s="62" t="s">
        <v>52</v>
      </c>
      <c r="G10" s="62" t="s">
        <v>52</v>
      </c>
      <c r="H10" s="62" t="s">
        <v>52</v>
      </c>
      <c r="I10" s="62" t="s">
        <v>52</v>
      </c>
      <c r="J10" s="62" t="s">
        <v>52</v>
      </c>
      <c r="K10" s="15">
        <f t="shared" ref="K10" si="2">SUM(K11+K12+K13+K14+K15+K16+K17+K18)</f>
        <v>890957.94969999988</v>
      </c>
      <c r="L10" s="15">
        <f t="shared" ref="L10:M10" si="3">SUM(L11+L12+L13+L14+L15+L16+L17+L18)</f>
        <v>1042748.7999999999</v>
      </c>
      <c r="M10" s="15">
        <f t="shared" si="3"/>
        <v>1042598.7999999999</v>
      </c>
      <c r="N10" s="16">
        <f>SUM(M10-K10)</f>
        <v>151640.85030000005</v>
      </c>
      <c r="O10" s="16">
        <f>SUM(M10/K10)*100</f>
        <v>117.01997836722373</v>
      </c>
      <c r="P10" s="16">
        <f>SUM(M10-L10)</f>
        <v>-150</v>
      </c>
      <c r="Q10" s="16">
        <f>SUM(M10/L10)*100</f>
        <v>99.985614943886773</v>
      </c>
    </row>
    <row r="11" spans="1:17" ht="31.5" x14ac:dyDescent="0.25">
      <c r="A11" s="19">
        <v>1</v>
      </c>
      <c r="B11" s="20" t="s">
        <v>6</v>
      </c>
      <c r="C11" s="20" t="s">
        <v>9</v>
      </c>
      <c r="D11" s="64">
        <v>1493</v>
      </c>
      <c r="E11" s="64">
        <v>1595</v>
      </c>
      <c r="F11" s="64">
        <v>1596</v>
      </c>
      <c r="G11" s="64">
        <f>SUM(F11-D11)</f>
        <v>103</v>
      </c>
      <c r="H11" s="65">
        <f t="shared" ref="H11:H18" si="4">SUM(F11/D11)*100</f>
        <v>106.89886135298056</v>
      </c>
      <c r="I11" s="66">
        <f>SUM(F11-E11)</f>
        <v>1</v>
      </c>
      <c r="J11" s="66">
        <f>SUM(F11/E11)*100</f>
        <v>100.06269592476488</v>
      </c>
      <c r="K11" s="60">
        <v>338491.89999999997</v>
      </c>
      <c r="L11" s="60">
        <v>383131</v>
      </c>
      <c r="M11" s="60">
        <v>383131</v>
      </c>
      <c r="N11" s="18">
        <f t="shared" ref="N11:N18" si="5">SUM(M11-K11)</f>
        <v>44639.100000000035</v>
      </c>
      <c r="O11" s="17">
        <f>SUM(M11/K11)*100</f>
        <v>113.18764200856802</v>
      </c>
      <c r="P11" s="17">
        <f>SUM(M11-L11)</f>
        <v>0</v>
      </c>
      <c r="Q11" s="17">
        <f>SUM(M11/L11)*100</f>
        <v>100</v>
      </c>
    </row>
    <row r="12" spans="1:17" ht="31.5" x14ac:dyDescent="0.25">
      <c r="A12" s="21">
        <v>2</v>
      </c>
      <c r="B12" s="22" t="s">
        <v>7</v>
      </c>
      <c r="C12" s="22" t="s">
        <v>9</v>
      </c>
      <c r="D12" s="64">
        <v>1638</v>
      </c>
      <c r="E12" s="64">
        <v>1738</v>
      </c>
      <c r="F12" s="64">
        <v>1727</v>
      </c>
      <c r="G12" s="67">
        <f t="shared" ref="G11:G18" si="6">SUM(F12-D12)</f>
        <v>89</v>
      </c>
      <c r="H12" s="68">
        <f t="shared" si="4"/>
        <v>105.43345543345544</v>
      </c>
      <c r="I12" s="69">
        <f t="shared" ref="I12:I18" si="7">SUM(F12-E12)</f>
        <v>-11</v>
      </c>
      <c r="J12" s="69">
        <f t="shared" ref="J12:J18" si="8">SUM(F12/E12)*100</f>
        <v>99.367088607594937</v>
      </c>
      <c r="K12" s="61">
        <v>102830.2</v>
      </c>
      <c r="L12" s="61">
        <v>126376.7</v>
      </c>
      <c r="M12" s="61">
        <v>126226.7</v>
      </c>
      <c r="N12" s="18">
        <f t="shared" si="5"/>
        <v>23396.5</v>
      </c>
      <c r="O12" s="18">
        <f t="shared" ref="O12:O18" si="9">SUM(M12/K12)*100</f>
        <v>122.75255712815884</v>
      </c>
      <c r="P12" s="18">
        <f t="shared" ref="P12:P18" si="10">SUM(M12-L12)</f>
        <v>-150</v>
      </c>
      <c r="Q12" s="18">
        <f t="shared" ref="Q12:Q18" si="11">SUM(M12/L12)*100</f>
        <v>99.881307234640559</v>
      </c>
    </row>
    <row r="13" spans="1:17" ht="31.5" x14ac:dyDescent="0.25">
      <c r="A13" s="21">
        <v>3</v>
      </c>
      <c r="B13" s="22" t="s">
        <v>12</v>
      </c>
      <c r="C13" s="22" t="s">
        <v>9</v>
      </c>
      <c r="D13" s="67">
        <v>1149</v>
      </c>
      <c r="E13" s="67">
        <v>1118</v>
      </c>
      <c r="F13" s="67">
        <v>1120</v>
      </c>
      <c r="G13" s="67">
        <f t="shared" si="6"/>
        <v>-29</v>
      </c>
      <c r="H13" s="68">
        <f t="shared" si="4"/>
        <v>97.47606614447345</v>
      </c>
      <c r="I13" s="69">
        <f t="shared" si="7"/>
        <v>2</v>
      </c>
      <c r="J13" s="69">
        <f t="shared" si="8"/>
        <v>100.17889087656529</v>
      </c>
      <c r="K13" s="18">
        <v>155239.78933599999</v>
      </c>
      <c r="L13" s="18">
        <v>179660.79999999999</v>
      </c>
      <c r="M13" s="18">
        <v>179660.79999999999</v>
      </c>
      <c r="N13" s="18">
        <f t="shared" si="5"/>
        <v>24421.010664000001</v>
      </c>
      <c r="O13" s="18">
        <f t="shared" si="9"/>
        <v>115.73115421533026</v>
      </c>
      <c r="P13" s="18">
        <f t="shared" si="10"/>
        <v>0</v>
      </c>
      <c r="Q13" s="18">
        <f t="shared" si="11"/>
        <v>100</v>
      </c>
    </row>
    <row r="14" spans="1:17" ht="31.5" x14ac:dyDescent="0.25">
      <c r="A14" s="21">
        <v>4</v>
      </c>
      <c r="B14" s="22" t="s">
        <v>13</v>
      </c>
      <c r="C14" s="22" t="s">
        <v>9</v>
      </c>
      <c r="D14" s="67">
        <v>1429</v>
      </c>
      <c r="E14" s="67">
        <v>1437</v>
      </c>
      <c r="F14" s="67">
        <v>1437</v>
      </c>
      <c r="G14" s="67">
        <f t="shared" si="6"/>
        <v>8</v>
      </c>
      <c r="H14" s="68">
        <f t="shared" si="4"/>
        <v>100.55983205038488</v>
      </c>
      <c r="I14" s="69">
        <f t="shared" si="7"/>
        <v>0</v>
      </c>
      <c r="J14" s="69">
        <f t="shared" si="8"/>
        <v>100</v>
      </c>
      <c r="K14" s="18">
        <v>194049.73666999998</v>
      </c>
      <c r="L14" s="18">
        <v>234941</v>
      </c>
      <c r="M14" s="18">
        <v>234941</v>
      </c>
      <c r="N14" s="18">
        <f t="shared" si="5"/>
        <v>40891.263330000016</v>
      </c>
      <c r="O14" s="18">
        <f t="shared" si="9"/>
        <v>121.07256831764708</v>
      </c>
      <c r="P14" s="18">
        <f t="shared" si="10"/>
        <v>0</v>
      </c>
      <c r="Q14" s="18">
        <f t="shared" si="11"/>
        <v>100</v>
      </c>
    </row>
    <row r="15" spans="1:17" ht="31.5" x14ac:dyDescent="0.25">
      <c r="A15" s="21">
        <v>5</v>
      </c>
      <c r="B15" s="22" t="s">
        <v>14</v>
      </c>
      <c r="C15" s="22" t="s">
        <v>9</v>
      </c>
      <c r="D15" s="67">
        <v>273</v>
      </c>
      <c r="E15" s="67">
        <v>257</v>
      </c>
      <c r="F15" s="67">
        <v>284</v>
      </c>
      <c r="G15" s="67">
        <f t="shared" si="6"/>
        <v>11</v>
      </c>
      <c r="H15" s="68">
        <f t="shared" si="4"/>
        <v>104.02930402930404</v>
      </c>
      <c r="I15" s="69">
        <f t="shared" si="7"/>
        <v>27</v>
      </c>
      <c r="J15" s="69">
        <f t="shared" si="8"/>
        <v>110.50583657587549</v>
      </c>
      <c r="K15" s="18">
        <v>38809.947333999997</v>
      </c>
      <c r="L15" s="18">
        <v>46066.9</v>
      </c>
      <c r="M15" s="18">
        <v>46066.9</v>
      </c>
      <c r="N15" s="18">
        <f t="shared" si="5"/>
        <v>7256.9526660000047</v>
      </c>
      <c r="O15" s="18">
        <f t="shared" si="9"/>
        <v>118.69869238302843</v>
      </c>
      <c r="P15" s="18">
        <f t="shared" si="10"/>
        <v>0</v>
      </c>
      <c r="Q15" s="18">
        <f t="shared" si="11"/>
        <v>100</v>
      </c>
    </row>
    <row r="16" spans="1:17" ht="31.5" x14ac:dyDescent="0.25">
      <c r="A16" s="21">
        <v>6</v>
      </c>
      <c r="B16" s="22" t="s">
        <v>1</v>
      </c>
      <c r="C16" s="22" t="s">
        <v>44</v>
      </c>
      <c r="D16" s="67">
        <v>1130</v>
      </c>
      <c r="E16" s="67">
        <v>790</v>
      </c>
      <c r="F16" s="67">
        <v>1184</v>
      </c>
      <c r="G16" s="67">
        <f t="shared" si="6"/>
        <v>54</v>
      </c>
      <c r="H16" s="68">
        <f t="shared" si="4"/>
        <v>104.77876106194689</v>
      </c>
      <c r="I16" s="69">
        <f t="shared" si="7"/>
        <v>394</v>
      </c>
      <c r="J16" s="69">
        <f t="shared" si="8"/>
        <v>149.87341772151899</v>
      </c>
      <c r="K16" s="18">
        <v>4773.6000000000004</v>
      </c>
      <c r="L16" s="18">
        <v>6728</v>
      </c>
      <c r="M16" s="18">
        <v>6728</v>
      </c>
      <c r="N16" s="18">
        <f t="shared" si="5"/>
        <v>1954.3999999999996</v>
      </c>
      <c r="O16" s="18">
        <f t="shared" si="9"/>
        <v>140.94184682419976</v>
      </c>
      <c r="P16" s="18">
        <f t="shared" si="10"/>
        <v>0</v>
      </c>
      <c r="Q16" s="18">
        <f t="shared" si="11"/>
        <v>100</v>
      </c>
    </row>
    <row r="17" spans="1:17" ht="31.5" x14ac:dyDescent="0.25">
      <c r="A17" s="21">
        <v>7</v>
      </c>
      <c r="B17" s="22" t="s">
        <v>15</v>
      </c>
      <c r="C17" s="22" t="s">
        <v>9</v>
      </c>
      <c r="D17" s="67">
        <v>1691</v>
      </c>
      <c r="E17" s="67">
        <v>1670</v>
      </c>
      <c r="F17" s="67">
        <v>1947</v>
      </c>
      <c r="G17" s="67">
        <f t="shared" si="6"/>
        <v>256</v>
      </c>
      <c r="H17" s="68">
        <f t="shared" si="4"/>
        <v>115.13897102306328</v>
      </c>
      <c r="I17" s="69">
        <f t="shared" si="7"/>
        <v>277</v>
      </c>
      <c r="J17" s="69">
        <f t="shared" si="8"/>
        <v>116.58682634730539</v>
      </c>
      <c r="K17" s="18">
        <v>38428.076359999999</v>
      </c>
      <c r="L17" s="18">
        <v>42546.2</v>
      </c>
      <c r="M17" s="18">
        <v>42546.2</v>
      </c>
      <c r="N17" s="18">
        <f t="shared" si="5"/>
        <v>4118.123639999998</v>
      </c>
      <c r="O17" s="18">
        <f t="shared" si="9"/>
        <v>110.7164449279761</v>
      </c>
      <c r="P17" s="18">
        <f t="shared" si="10"/>
        <v>0</v>
      </c>
      <c r="Q17" s="18">
        <f t="shared" si="11"/>
        <v>100</v>
      </c>
    </row>
    <row r="18" spans="1:17" ht="31.5" x14ac:dyDescent="0.25">
      <c r="A18" s="21">
        <v>8</v>
      </c>
      <c r="B18" s="22" t="s">
        <v>2</v>
      </c>
      <c r="C18" s="22" t="s">
        <v>9</v>
      </c>
      <c r="D18" s="67">
        <v>2186</v>
      </c>
      <c r="E18" s="67">
        <v>2028</v>
      </c>
      <c r="F18" s="67">
        <v>2280</v>
      </c>
      <c r="G18" s="67">
        <f t="shared" si="6"/>
        <v>94</v>
      </c>
      <c r="H18" s="68">
        <f t="shared" si="4"/>
        <v>104.30009149130832</v>
      </c>
      <c r="I18" s="69">
        <f t="shared" si="7"/>
        <v>252</v>
      </c>
      <c r="J18" s="69">
        <f t="shared" si="8"/>
        <v>112.42603550295857</v>
      </c>
      <c r="K18" s="18">
        <v>18334.7</v>
      </c>
      <c r="L18" s="18">
        <v>23298.2</v>
      </c>
      <c r="M18" s="18">
        <v>23298.2</v>
      </c>
      <c r="N18" s="18">
        <f t="shared" si="5"/>
        <v>4963.5</v>
      </c>
      <c r="O18" s="18">
        <f t="shared" si="9"/>
        <v>127.0716182975451</v>
      </c>
      <c r="P18" s="18">
        <f t="shared" si="10"/>
        <v>0</v>
      </c>
      <c r="Q18" s="18">
        <f t="shared" si="11"/>
        <v>100</v>
      </c>
    </row>
    <row r="19" spans="1:17" ht="35.25" customHeight="1" x14ac:dyDescent="0.25">
      <c r="A19" s="23" t="s">
        <v>51</v>
      </c>
      <c r="B19" s="24" t="s">
        <v>49</v>
      </c>
      <c r="C19" s="22"/>
      <c r="D19" s="70" t="s">
        <v>52</v>
      </c>
      <c r="E19" s="70" t="s">
        <v>52</v>
      </c>
      <c r="F19" s="70" t="s">
        <v>52</v>
      </c>
      <c r="G19" s="70" t="s">
        <v>52</v>
      </c>
      <c r="H19" s="62" t="s">
        <v>52</v>
      </c>
      <c r="I19" s="62" t="s">
        <v>52</v>
      </c>
      <c r="J19" s="62" t="s">
        <v>52</v>
      </c>
      <c r="K19" s="71">
        <f t="shared" ref="K19" si="12">SUM(K20+K21+K22+K23+K24+K25+K26+K27+K28+K29+K30+K31+K32+K33+K34+K35+K39+K40+K41+K36+K37+K38)</f>
        <v>208957.19999999998</v>
      </c>
      <c r="L19" s="71">
        <f>SUM(L20+L21+L22+L23+L24+L25+L26+L27+L28+L29+L30+L31+L32+L33+L34+L35+L39+L40+L41+L36+L37+L38+L42)</f>
        <v>242004.7</v>
      </c>
      <c r="M19" s="71">
        <f>SUM(M20+M21+M22+M23+M24+M25+M26+M27+M28+M29+M30+M31+M32+M33+M34+M35+M39+M40+M41+M36+M37+M38+M42)</f>
        <v>242004.7</v>
      </c>
      <c r="N19" s="16">
        <f>SUM(M19-K19)</f>
        <v>33047.500000000029</v>
      </c>
      <c r="O19" s="16">
        <f>SUM(M19/K19)*100</f>
        <v>115.81543971684154</v>
      </c>
      <c r="P19" s="16">
        <f>SUM(M19-L19)</f>
        <v>0</v>
      </c>
      <c r="Q19" s="16">
        <f>SUM(M19/L19)*100</f>
        <v>100</v>
      </c>
    </row>
    <row r="20" spans="1:17" ht="47.25" hidden="1" x14ac:dyDescent="0.25">
      <c r="A20" s="21">
        <v>1</v>
      </c>
      <c r="B20" s="25" t="s">
        <v>16</v>
      </c>
      <c r="C20" s="22" t="s">
        <v>18</v>
      </c>
      <c r="D20" s="67"/>
      <c r="E20" s="67"/>
      <c r="F20" s="67"/>
      <c r="G20" s="67">
        <f t="shared" ref="G20:G42" si="13">SUM(F20-D20)</f>
        <v>0</v>
      </c>
      <c r="H20" s="68">
        <v>0</v>
      </c>
      <c r="I20" s="69">
        <f t="shared" ref="I20:I38" si="14">SUM(F20-E20)</f>
        <v>0</v>
      </c>
      <c r="J20" s="69" t="e">
        <f t="shared" ref="J20:J38" si="15">SUM(F20/E20)*100</f>
        <v>#DIV/0!</v>
      </c>
      <c r="K20" s="18"/>
      <c r="L20" s="18"/>
      <c r="M20" s="18"/>
      <c r="N20" s="18">
        <f t="shared" ref="N20:N38" si="16">SUM(M20-K20)</f>
        <v>0</v>
      </c>
      <c r="O20" s="18">
        <v>0</v>
      </c>
      <c r="P20" s="18">
        <f t="shared" ref="P20:P38" si="17">SUM(M20-L20)</f>
        <v>0</v>
      </c>
      <c r="Q20" s="18">
        <v>0</v>
      </c>
    </row>
    <row r="21" spans="1:17" ht="31.5" x14ac:dyDescent="0.25">
      <c r="A21" s="21">
        <v>1</v>
      </c>
      <c r="B21" s="22" t="s">
        <v>16</v>
      </c>
      <c r="C21" s="22" t="s">
        <v>19</v>
      </c>
      <c r="D21" s="67">
        <v>26421</v>
      </c>
      <c r="E21" s="67"/>
      <c r="F21" s="67"/>
      <c r="G21" s="67">
        <f t="shared" si="13"/>
        <v>-26421</v>
      </c>
      <c r="H21" s="68">
        <f>SUM(F21/D21)*100</f>
        <v>0</v>
      </c>
      <c r="I21" s="69">
        <f t="shared" si="14"/>
        <v>0</v>
      </c>
      <c r="J21" s="29" t="e">
        <f t="shared" si="15"/>
        <v>#DIV/0!</v>
      </c>
      <c r="K21" s="18">
        <v>27185.7</v>
      </c>
      <c r="L21" s="18"/>
      <c r="M21" s="18"/>
      <c r="N21" s="18">
        <f t="shared" si="16"/>
        <v>-27185.7</v>
      </c>
      <c r="O21" s="18">
        <f t="shared" ref="O21:O38" si="18">SUM(M21/K21)*100</f>
        <v>0</v>
      </c>
      <c r="P21" s="18">
        <f t="shared" si="17"/>
        <v>0</v>
      </c>
      <c r="Q21" s="30" t="e">
        <f t="shared" ref="Q21:Q38" si="19">SUM(M21/L21)*100</f>
        <v>#DIV/0!</v>
      </c>
    </row>
    <row r="22" spans="1:17" ht="31.5" hidden="1" x14ac:dyDescent="0.25">
      <c r="A22" s="21">
        <v>2</v>
      </c>
      <c r="B22" s="25" t="s">
        <v>17</v>
      </c>
      <c r="C22" s="22" t="s">
        <v>20</v>
      </c>
      <c r="D22" s="67"/>
      <c r="E22" s="67"/>
      <c r="F22" s="67"/>
      <c r="G22" s="67">
        <f t="shared" si="13"/>
        <v>0</v>
      </c>
      <c r="H22" s="68">
        <v>0</v>
      </c>
      <c r="I22" s="69">
        <f t="shared" si="14"/>
        <v>0</v>
      </c>
      <c r="J22" s="69" t="e">
        <f t="shared" si="15"/>
        <v>#DIV/0!</v>
      </c>
      <c r="K22" s="18"/>
      <c r="L22" s="18"/>
      <c r="M22" s="18"/>
      <c r="N22" s="18">
        <f t="shared" si="16"/>
        <v>0</v>
      </c>
      <c r="O22" s="18">
        <v>0</v>
      </c>
      <c r="P22" s="18">
        <f t="shared" si="17"/>
        <v>0</v>
      </c>
      <c r="Q22" s="18">
        <v>0</v>
      </c>
    </row>
    <row r="23" spans="1:17" ht="47.25" x14ac:dyDescent="0.25">
      <c r="A23" s="21">
        <v>2</v>
      </c>
      <c r="B23" s="22" t="s">
        <v>64</v>
      </c>
      <c r="C23" s="22" t="s">
        <v>21</v>
      </c>
      <c r="D23" s="67">
        <v>17862</v>
      </c>
      <c r="E23" s="67">
        <f>39759+11154</f>
        <v>50913</v>
      </c>
      <c r="F23" s="67">
        <f>39759+11154</f>
        <v>50913</v>
      </c>
      <c r="G23" s="67">
        <f t="shared" si="13"/>
        <v>33051</v>
      </c>
      <c r="H23" s="68">
        <v>0</v>
      </c>
      <c r="I23" s="69">
        <f t="shared" si="14"/>
        <v>0</v>
      </c>
      <c r="J23" s="69">
        <f t="shared" si="15"/>
        <v>100</v>
      </c>
      <c r="K23" s="18">
        <f>13428.6+3736.3</f>
        <v>17164.900000000001</v>
      </c>
      <c r="L23" s="18">
        <f>18051.1+5064</f>
        <v>23115.1</v>
      </c>
      <c r="M23" s="18">
        <f t="shared" ref="M23" si="20">18051.1+5064</f>
        <v>23115.1</v>
      </c>
      <c r="N23" s="18">
        <f t="shared" si="16"/>
        <v>5950.1999999999971</v>
      </c>
      <c r="O23" s="18">
        <v>0</v>
      </c>
      <c r="P23" s="18">
        <f t="shared" si="17"/>
        <v>0</v>
      </c>
      <c r="Q23" s="18">
        <f t="shared" si="19"/>
        <v>100</v>
      </c>
    </row>
    <row r="24" spans="1:17" ht="47.25" x14ac:dyDescent="0.25">
      <c r="A24" s="21">
        <v>3</v>
      </c>
      <c r="B24" s="22" t="s">
        <v>22</v>
      </c>
      <c r="C24" s="22" t="s">
        <v>23</v>
      </c>
      <c r="D24" s="72">
        <v>50</v>
      </c>
      <c r="E24" s="67">
        <v>0</v>
      </c>
      <c r="F24" s="67">
        <v>0</v>
      </c>
      <c r="G24" s="67">
        <f t="shared" si="13"/>
        <v>-50</v>
      </c>
      <c r="H24" s="68">
        <f t="shared" ref="H24:H42" si="21">SUM(F24/D24)*100</f>
        <v>0</v>
      </c>
      <c r="I24" s="69">
        <f t="shared" si="14"/>
        <v>0</v>
      </c>
      <c r="J24" s="29" t="e">
        <f t="shared" si="15"/>
        <v>#DIV/0!</v>
      </c>
      <c r="K24" s="18">
        <v>48</v>
      </c>
      <c r="L24" s="18">
        <v>0</v>
      </c>
      <c r="M24" s="18">
        <v>0</v>
      </c>
      <c r="N24" s="18">
        <f t="shared" si="16"/>
        <v>-48</v>
      </c>
      <c r="O24" s="18">
        <f t="shared" si="18"/>
        <v>0</v>
      </c>
      <c r="P24" s="18">
        <f t="shared" si="17"/>
        <v>0</v>
      </c>
      <c r="Q24" s="30" t="e">
        <f t="shared" si="19"/>
        <v>#DIV/0!</v>
      </c>
    </row>
    <row r="25" spans="1:17" ht="35.25" customHeight="1" x14ac:dyDescent="0.25">
      <c r="A25" s="21">
        <v>4</v>
      </c>
      <c r="B25" s="22" t="s">
        <v>22</v>
      </c>
      <c r="C25" s="22" t="s">
        <v>24</v>
      </c>
      <c r="D25" s="67"/>
      <c r="E25" s="67">
        <f>23706+43697</f>
        <v>67403</v>
      </c>
      <c r="F25" s="67">
        <f>23706+43697</f>
        <v>67403</v>
      </c>
      <c r="G25" s="67">
        <f t="shared" ref="G25" si="22">SUM(F25-D25)</f>
        <v>67403</v>
      </c>
      <c r="H25" s="73" t="e">
        <f t="shared" ref="H25" si="23">SUM(F25/D25)*100</f>
        <v>#DIV/0!</v>
      </c>
      <c r="I25" s="69">
        <f t="shared" ref="I25" si="24">SUM(F25-E25)</f>
        <v>0</v>
      </c>
      <c r="J25" s="69">
        <f t="shared" ref="J25" si="25">SUM(F25/E25)*100</f>
        <v>100</v>
      </c>
      <c r="K25" s="18">
        <v>0</v>
      </c>
      <c r="L25" s="18">
        <f>19839+10762.8</f>
        <v>30601.8</v>
      </c>
      <c r="M25" s="18">
        <f t="shared" ref="M25" si="26">19839+10762.8</f>
        <v>30601.8</v>
      </c>
      <c r="N25" s="18">
        <f t="shared" si="16"/>
        <v>30601.8</v>
      </c>
      <c r="O25" s="18">
        <v>0</v>
      </c>
      <c r="P25" s="18">
        <f t="shared" si="17"/>
        <v>0</v>
      </c>
      <c r="Q25" s="18">
        <v>0</v>
      </c>
    </row>
    <row r="26" spans="1:17" ht="31.5" x14ac:dyDescent="0.25">
      <c r="A26" s="21">
        <v>5</v>
      </c>
      <c r="B26" s="22" t="s">
        <v>25</v>
      </c>
      <c r="C26" s="22" t="s">
        <v>26</v>
      </c>
      <c r="D26" s="67">
        <v>103000</v>
      </c>
      <c r="E26" s="67">
        <f>100200+3145</f>
        <v>103345</v>
      </c>
      <c r="F26" s="67">
        <f>100200+3145</f>
        <v>103345</v>
      </c>
      <c r="G26" s="67">
        <f t="shared" si="13"/>
        <v>345</v>
      </c>
      <c r="H26" s="68">
        <f t="shared" si="21"/>
        <v>100.33495145631068</v>
      </c>
      <c r="I26" s="69">
        <f t="shared" si="14"/>
        <v>0</v>
      </c>
      <c r="J26" s="69">
        <f t="shared" si="15"/>
        <v>100</v>
      </c>
      <c r="K26" s="18">
        <v>38916.300000000003</v>
      </c>
      <c r="L26" s="18">
        <f>41427+1300.3</f>
        <v>42727.3</v>
      </c>
      <c r="M26" s="18">
        <f t="shared" ref="M26" si="27">41427+1300.3</f>
        <v>42727.3</v>
      </c>
      <c r="N26" s="18">
        <f t="shared" si="16"/>
        <v>3811</v>
      </c>
      <c r="O26" s="18">
        <f t="shared" si="18"/>
        <v>109.79281175240195</v>
      </c>
      <c r="P26" s="18">
        <f t="shared" si="17"/>
        <v>0</v>
      </c>
      <c r="Q26" s="18">
        <f t="shared" si="19"/>
        <v>100</v>
      </c>
    </row>
    <row r="27" spans="1:17" ht="31.5" x14ac:dyDescent="0.25">
      <c r="A27" s="21">
        <v>6</v>
      </c>
      <c r="B27" s="26" t="s">
        <v>27</v>
      </c>
      <c r="C27" s="22" t="s">
        <v>28</v>
      </c>
      <c r="D27" s="67">
        <v>2483</v>
      </c>
      <c r="E27" s="67">
        <v>1752</v>
      </c>
      <c r="F27" s="67">
        <v>1752</v>
      </c>
      <c r="G27" s="67">
        <f t="shared" si="13"/>
        <v>-731</v>
      </c>
      <c r="H27" s="68">
        <f t="shared" si="21"/>
        <v>70.55980668546114</v>
      </c>
      <c r="I27" s="69">
        <f t="shared" si="14"/>
        <v>0</v>
      </c>
      <c r="J27" s="69">
        <f t="shared" si="15"/>
        <v>100</v>
      </c>
      <c r="K27" s="18">
        <v>935.1</v>
      </c>
      <c r="L27" s="18">
        <v>724.3</v>
      </c>
      <c r="M27" s="18">
        <v>724.3</v>
      </c>
      <c r="N27" s="18">
        <f t="shared" si="16"/>
        <v>-210.80000000000007</v>
      </c>
      <c r="O27" s="18">
        <f t="shared" si="18"/>
        <v>77.456956475243288</v>
      </c>
      <c r="P27" s="18">
        <f t="shared" si="17"/>
        <v>0</v>
      </c>
      <c r="Q27" s="18">
        <f t="shared" si="19"/>
        <v>100</v>
      </c>
    </row>
    <row r="28" spans="1:17" ht="47.25" x14ac:dyDescent="0.25">
      <c r="A28" s="21">
        <v>7</v>
      </c>
      <c r="B28" s="22" t="s">
        <v>53</v>
      </c>
      <c r="C28" s="22" t="s">
        <v>28</v>
      </c>
      <c r="D28" s="67">
        <v>3850</v>
      </c>
      <c r="E28" s="67">
        <v>5743</v>
      </c>
      <c r="F28" s="67">
        <v>5743</v>
      </c>
      <c r="G28" s="67">
        <f t="shared" si="13"/>
        <v>1893</v>
      </c>
      <c r="H28" s="68">
        <f t="shared" si="21"/>
        <v>149.16883116883116</v>
      </c>
      <c r="I28" s="69">
        <f t="shared" si="14"/>
        <v>0</v>
      </c>
      <c r="J28" s="69">
        <f t="shared" si="15"/>
        <v>100</v>
      </c>
      <c r="K28" s="18">
        <v>1454.5</v>
      </c>
      <c r="L28" s="18">
        <v>2374.4</v>
      </c>
      <c r="M28" s="18">
        <v>2374.4</v>
      </c>
      <c r="N28" s="18">
        <f t="shared" si="16"/>
        <v>919.90000000000009</v>
      </c>
      <c r="O28" s="18">
        <f t="shared" si="18"/>
        <v>163.24510140941905</v>
      </c>
      <c r="P28" s="18">
        <f t="shared" si="17"/>
        <v>0</v>
      </c>
      <c r="Q28" s="18">
        <f t="shared" si="19"/>
        <v>100</v>
      </c>
    </row>
    <row r="29" spans="1:17" ht="31.5" x14ac:dyDescent="0.25">
      <c r="A29" s="21">
        <v>8</v>
      </c>
      <c r="B29" s="22" t="s">
        <v>29</v>
      </c>
      <c r="C29" s="22" t="s">
        <v>30</v>
      </c>
      <c r="D29" s="67">
        <v>13205</v>
      </c>
      <c r="E29" s="67">
        <v>6990</v>
      </c>
      <c r="F29" s="67">
        <v>6990</v>
      </c>
      <c r="G29" s="67">
        <f t="shared" si="13"/>
        <v>-6215</v>
      </c>
      <c r="H29" s="68">
        <f t="shared" si="21"/>
        <v>52.934494509655437</v>
      </c>
      <c r="I29" s="69">
        <f t="shared" si="14"/>
        <v>0</v>
      </c>
      <c r="J29" s="69">
        <f t="shared" si="15"/>
        <v>100</v>
      </c>
      <c r="K29" s="18">
        <v>10055.9</v>
      </c>
      <c r="L29" s="18">
        <v>12660.5</v>
      </c>
      <c r="M29" s="18">
        <v>12660.5</v>
      </c>
      <c r="N29" s="18">
        <f t="shared" si="16"/>
        <v>2604.6000000000004</v>
      </c>
      <c r="O29" s="18">
        <f t="shared" si="18"/>
        <v>125.9012122236697</v>
      </c>
      <c r="P29" s="18">
        <f t="shared" si="17"/>
        <v>0</v>
      </c>
      <c r="Q29" s="18">
        <f t="shared" si="19"/>
        <v>100</v>
      </c>
    </row>
    <row r="30" spans="1:17" ht="47.25" x14ac:dyDescent="0.25">
      <c r="A30" s="21">
        <v>9</v>
      </c>
      <c r="B30" s="22" t="s">
        <v>31</v>
      </c>
      <c r="C30" s="22" t="s">
        <v>32</v>
      </c>
      <c r="D30" s="67">
        <v>140</v>
      </c>
      <c r="E30" s="67">
        <v>104</v>
      </c>
      <c r="F30" s="67">
        <v>104</v>
      </c>
      <c r="G30" s="67">
        <f t="shared" si="13"/>
        <v>-36</v>
      </c>
      <c r="H30" s="68">
        <f t="shared" si="21"/>
        <v>74.285714285714292</v>
      </c>
      <c r="I30" s="69">
        <f t="shared" si="14"/>
        <v>0</v>
      </c>
      <c r="J30" s="69">
        <f t="shared" si="15"/>
        <v>100</v>
      </c>
      <c r="K30" s="18">
        <v>78.400000000000006</v>
      </c>
      <c r="L30" s="18">
        <v>188.4</v>
      </c>
      <c r="M30" s="18">
        <v>188.4</v>
      </c>
      <c r="N30" s="18">
        <f t="shared" si="16"/>
        <v>110</v>
      </c>
      <c r="O30" s="18">
        <f t="shared" si="18"/>
        <v>240.30612244897958</v>
      </c>
      <c r="P30" s="18">
        <f t="shared" si="17"/>
        <v>0</v>
      </c>
      <c r="Q30" s="18">
        <f t="shared" si="19"/>
        <v>100</v>
      </c>
    </row>
    <row r="31" spans="1:17" ht="31.5" x14ac:dyDescent="0.25">
      <c r="A31" s="21">
        <v>10</v>
      </c>
      <c r="B31" s="22" t="s">
        <v>33</v>
      </c>
      <c r="C31" s="22" t="s">
        <v>34</v>
      </c>
      <c r="D31" s="67">
        <v>27</v>
      </c>
      <c r="E31" s="67">
        <v>24</v>
      </c>
      <c r="F31" s="67">
        <v>24</v>
      </c>
      <c r="G31" s="67">
        <f t="shared" si="13"/>
        <v>-3</v>
      </c>
      <c r="H31" s="68">
        <f t="shared" si="21"/>
        <v>88.888888888888886</v>
      </c>
      <c r="I31" s="69">
        <f t="shared" si="14"/>
        <v>0</v>
      </c>
      <c r="J31" s="69">
        <f t="shared" si="15"/>
        <v>100</v>
      </c>
      <c r="K31" s="18">
        <v>17.5</v>
      </c>
      <c r="L31" s="18">
        <v>43.5</v>
      </c>
      <c r="M31" s="18">
        <v>43.5</v>
      </c>
      <c r="N31" s="18">
        <f t="shared" si="16"/>
        <v>26</v>
      </c>
      <c r="O31" s="18">
        <f t="shared" si="18"/>
        <v>248.57142857142858</v>
      </c>
      <c r="P31" s="18">
        <f t="shared" si="17"/>
        <v>0</v>
      </c>
      <c r="Q31" s="18">
        <f t="shared" si="19"/>
        <v>100</v>
      </c>
    </row>
    <row r="32" spans="1:17" ht="31.5" x14ac:dyDescent="0.25">
      <c r="A32" s="21">
        <v>11</v>
      </c>
      <c r="B32" s="22" t="s">
        <v>35</v>
      </c>
      <c r="C32" s="22" t="s">
        <v>36</v>
      </c>
      <c r="D32" s="67">
        <v>159</v>
      </c>
      <c r="E32" s="67">
        <f>45+65+14+25+26</f>
        <v>175</v>
      </c>
      <c r="F32" s="67">
        <f>45+66+14+27+26</f>
        <v>178</v>
      </c>
      <c r="G32" s="67">
        <f t="shared" si="13"/>
        <v>19</v>
      </c>
      <c r="H32" s="68">
        <f t="shared" si="21"/>
        <v>111.9496855345912</v>
      </c>
      <c r="I32" s="69">
        <f t="shared" si="14"/>
        <v>3</v>
      </c>
      <c r="J32" s="69">
        <f t="shared" si="15"/>
        <v>101.71428571428571</v>
      </c>
      <c r="K32" s="18">
        <v>22378.2</v>
      </c>
      <c r="L32" s="18">
        <f>5902.4+8525.7+3380.1+6035.8+6277.2</f>
        <v>30121.200000000001</v>
      </c>
      <c r="M32" s="18">
        <f t="shared" ref="M32" si="28">5902.4+8525.7+3380.1+6035.8+6277.2</f>
        <v>30121.200000000001</v>
      </c>
      <c r="N32" s="18">
        <f t="shared" si="16"/>
        <v>7743</v>
      </c>
      <c r="O32" s="18">
        <f t="shared" si="18"/>
        <v>134.60063812102848</v>
      </c>
      <c r="P32" s="18">
        <f t="shared" si="17"/>
        <v>0</v>
      </c>
      <c r="Q32" s="18">
        <f t="shared" si="19"/>
        <v>100</v>
      </c>
    </row>
    <row r="33" spans="1:17" ht="31.5" x14ac:dyDescent="0.25">
      <c r="A33" s="21">
        <v>12</v>
      </c>
      <c r="B33" s="22" t="s">
        <v>37</v>
      </c>
      <c r="C33" s="22" t="s">
        <v>36</v>
      </c>
      <c r="D33" s="67">
        <f>99+56</f>
        <v>155</v>
      </c>
      <c r="E33" s="67">
        <f>20+49+10+98</f>
        <v>177</v>
      </c>
      <c r="F33" s="67">
        <f>19+47+10+98</f>
        <v>174</v>
      </c>
      <c r="G33" s="67">
        <f t="shared" si="13"/>
        <v>19</v>
      </c>
      <c r="H33" s="68">
        <f t="shared" si="21"/>
        <v>112.25806451612902</v>
      </c>
      <c r="I33" s="69">
        <f t="shared" si="14"/>
        <v>-3</v>
      </c>
      <c r="J33" s="69">
        <f t="shared" si="15"/>
        <v>98.305084745762713</v>
      </c>
      <c r="K33" s="18">
        <f>5253.5+12002.9</f>
        <v>17256.400000000001</v>
      </c>
      <c r="L33" s="18">
        <f>2623.3+11830.2+558.3+5470.9</f>
        <v>20482.699999999997</v>
      </c>
      <c r="M33" s="18">
        <f t="shared" ref="M33" si="29">2623.3+11830.2+558.3+5470.9</f>
        <v>20482.699999999997</v>
      </c>
      <c r="N33" s="18">
        <f t="shared" si="16"/>
        <v>3226.2999999999956</v>
      </c>
      <c r="O33" s="18">
        <f t="shared" si="18"/>
        <v>118.69625182540969</v>
      </c>
      <c r="P33" s="18">
        <f t="shared" si="17"/>
        <v>0</v>
      </c>
      <c r="Q33" s="18">
        <f t="shared" si="19"/>
        <v>100</v>
      </c>
    </row>
    <row r="34" spans="1:17" ht="31.5" x14ac:dyDescent="0.25">
      <c r="A34" s="21">
        <v>13</v>
      </c>
      <c r="B34" s="22" t="s">
        <v>38</v>
      </c>
      <c r="C34" s="22" t="s">
        <v>36</v>
      </c>
      <c r="D34" s="67">
        <f>621+24</f>
        <v>645</v>
      </c>
      <c r="E34" s="67">
        <f>79+47+267+212</f>
        <v>605</v>
      </c>
      <c r="F34" s="67">
        <f>79+47+267+212</f>
        <v>605</v>
      </c>
      <c r="G34" s="67">
        <f t="shared" si="13"/>
        <v>-40</v>
      </c>
      <c r="H34" s="68">
        <f t="shared" si="21"/>
        <v>93.798449612403104</v>
      </c>
      <c r="I34" s="69">
        <f t="shared" si="14"/>
        <v>0</v>
      </c>
      <c r="J34" s="69">
        <f t="shared" si="15"/>
        <v>100</v>
      </c>
      <c r="K34" s="18">
        <f>33041.1+2539.1</f>
        <v>35580.199999999997</v>
      </c>
      <c r="L34" s="18">
        <f>4410.2+2595.9+14877.5+11835</f>
        <v>33718.6</v>
      </c>
      <c r="M34" s="18">
        <f t="shared" ref="M34" si="30">4410.2+2595.9+14877.5+11835</f>
        <v>33718.6</v>
      </c>
      <c r="N34" s="18">
        <f t="shared" si="16"/>
        <v>-1861.5999999999985</v>
      </c>
      <c r="O34" s="18">
        <f t="shared" si="18"/>
        <v>94.767876515590132</v>
      </c>
      <c r="P34" s="18">
        <f t="shared" si="17"/>
        <v>0</v>
      </c>
      <c r="Q34" s="18">
        <f t="shared" si="19"/>
        <v>100</v>
      </c>
    </row>
    <row r="35" spans="1:17" ht="126" x14ac:dyDescent="0.25">
      <c r="A35" s="21">
        <v>14</v>
      </c>
      <c r="B35" s="22" t="s">
        <v>39</v>
      </c>
      <c r="C35" s="22" t="s">
        <v>40</v>
      </c>
      <c r="D35" s="67">
        <f>33+32+14</f>
        <v>79</v>
      </c>
      <c r="E35" s="67">
        <f>13+34+32</f>
        <v>79</v>
      </c>
      <c r="F35" s="67">
        <f>13+34+32</f>
        <v>79</v>
      </c>
      <c r="G35" s="67">
        <f t="shared" si="13"/>
        <v>0</v>
      </c>
      <c r="H35" s="68">
        <f t="shared" si="21"/>
        <v>100</v>
      </c>
      <c r="I35" s="69">
        <f t="shared" si="14"/>
        <v>0</v>
      </c>
      <c r="J35" s="69">
        <f t="shared" si="15"/>
        <v>100</v>
      </c>
      <c r="K35" s="18">
        <f>1760.1+1680.1+720+5313.8</f>
        <v>9474</v>
      </c>
      <c r="L35" s="18">
        <f>2415.9+6225.6+5854</f>
        <v>14495.5</v>
      </c>
      <c r="M35" s="18">
        <f t="shared" ref="M35" si="31">2415.9+6225.6+5854</f>
        <v>14495.5</v>
      </c>
      <c r="N35" s="18">
        <f t="shared" si="16"/>
        <v>5021.5</v>
      </c>
      <c r="O35" s="18">
        <f t="shared" si="18"/>
        <v>153.00295545704031</v>
      </c>
      <c r="P35" s="18">
        <f t="shared" si="17"/>
        <v>0</v>
      </c>
      <c r="Q35" s="18">
        <f t="shared" si="19"/>
        <v>100</v>
      </c>
    </row>
    <row r="36" spans="1:17" ht="31.5" x14ac:dyDescent="0.25">
      <c r="A36" s="21">
        <v>15</v>
      </c>
      <c r="B36" s="22" t="s">
        <v>55</v>
      </c>
      <c r="C36" s="22" t="s">
        <v>19</v>
      </c>
      <c r="D36" s="67">
        <v>890</v>
      </c>
      <c r="E36" s="67">
        <v>0</v>
      </c>
      <c r="F36" s="67">
        <v>0</v>
      </c>
      <c r="G36" s="67">
        <f t="shared" si="13"/>
        <v>-890</v>
      </c>
      <c r="H36" s="73">
        <f t="shared" si="21"/>
        <v>0</v>
      </c>
      <c r="I36" s="69">
        <f t="shared" si="14"/>
        <v>0</v>
      </c>
      <c r="J36" s="29" t="e">
        <f t="shared" si="15"/>
        <v>#DIV/0!</v>
      </c>
      <c r="K36" s="18">
        <v>885.3</v>
      </c>
      <c r="L36" s="18">
        <v>0</v>
      </c>
      <c r="M36" s="18">
        <v>0</v>
      </c>
      <c r="N36" s="18">
        <f t="shared" si="16"/>
        <v>-885.3</v>
      </c>
      <c r="O36" s="18">
        <f t="shared" si="18"/>
        <v>0</v>
      </c>
      <c r="P36" s="18">
        <f t="shared" si="17"/>
        <v>0</v>
      </c>
      <c r="Q36" s="30" t="e">
        <f t="shared" si="19"/>
        <v>#DIV/0!</v>
      </c>
    </row>
    <row r="37" spans="1:17" ht="31.5" hidden="1" x14ac:dyDescent="0.25">
      <c r="A37" s="21">
        <v>16</v>
      </c>
      <c r="B37" s="22" t="s">
        <v>41</v>
      </c>
      <c r="C37" s="22" t="s">
        <v>30</v>
      </c>
      <c r="D37" s="67">
        <v>0</v>
      </c>
      <c r="E37" s="67">
        <v>0</v>
      </c>
      <c r="F37" s="67">
        <v>0</v>
      </c>
      <c r="G37" s="67">
        <f t="shared" si="13"/>
        <v>0</v>
      </c>
      <c r="H37" s="68" t="e">
        <f t="shared" si="21"/>
        <v>#DIV/0!</v>
      </c>
      <c r="I37" s="69">
        <f t="shared" ref="I37" si="32">SUM(F37-E37)</f>
        <v>0</v>
      </c>
      <c r="J37" s="69">
        <v>0</v>
      </c>
      <c r="K37" s="18">
        <v>0</v>
      </c>
      <c r="L37" s="18">
        <v>0</v>
      </c>
      <c r="M37" s="18">
        <v>0</v>
      </c>
      <c r="N37" s="18">
        <f t="shared" ref="N37" si="33">SUM(M37-K37)</f>
        <v>0</v>
      </c>
      <c r="O37" s="18" t="e">
        <f t="shared" ref="O37" si="34">SUM(M37/K37)*100</f>
        <v>#DIV/0!</v>
      </c>
      <c r="P37" s="18">
        <f t="shared" ref="P37" si="35">SUM(M37-L37)</f>
        <v>0</v>
      </c>
      <c r="Q37" s="18"/>
    </row>
    <row r="38" spans="1:17" ht="31.5" x14ac:dyDescent="0.25">
      <c r="A38" s="21">
        <v>16</v>
      </c>
      <c r="B38" s="22" t="s">
        <v>1</v>
      </c>
      <c r="C38" s="22" t="s">
        <v>44</v>
      </c>
      <c r="D38" s="67">
        <v>105</v>
      </c>
      <c r="E38" s="67">
        <f>25+80</f>
        <v>105</v>
      </c>
      <c r="F38" s="67">
        <v>105</v>
      </c>
      <c r="G38" s="67">
        <f t="shared" si="13"/>
        <v>0</v>
      </c>
      <c r="H38" s="68">
        <f t="shared" si="21"/>
        <v>100</v>
      </c>
      <c r="I38" s="69">
        <f t="shared" si="14"/>
        <v>0</v>
      </c>
      <c r="J38" s="69">
        <f t="shared" si="15"/>
        <v>100</v>
      </c>
      <c r="K38" s="18">
        <f>5600.2-5313.8</f>
        <v>286.39999999999964</v>
      </c>
      <c r="L38" s="18">
        <v>298</v>
      </c>
      <c r="M38" s="18">
        <v>298</v>
      </c>
      <c r="N38" s="18">
        <f t="shared" si="16"/>
        <v>11.600000000000364</v>
      </c>
      <c r="O38" s="18">
        <f t="shared" si="18"/>
        <v>104.05027932960907</v>
      </c>
      <c r="P38" s="18">
        <f t="shared" si="17"/>
        <v>0</v>
      </c>
      <c r="Q38" s="18">
        <f t="shared" si="19"/>
        <v>100</v>
      </c>
    </row>
    <row r="39" spans="1:17" ht="34.5" customHeight="1" x14ac:dyDescent="0.25">
      <c r="A39" s="33">
        <v>17</v>
      </c>
      <c r="B39" s="31" t="s">
        <v>41</v>
      </c>
      <c r="C39" s="22" t="s">
        <v>36</v>
      </c>
      <c r="D39" s="67">
        <v>108406</v>
      </c>
      <c r="E39" s="67">
        <v>108406</v>
      </c>
      <c r="F39" s="67">
        <v>108406</v>
      </c>
      <c r="G39" s="67">
        <f t="shared" si="13"/>
        <v>0</v>
      </c>
      <c r="H39" s="68">
        <f t="shared" si="21"/>
        <v>100</v>
      </c>
      <c r="I39" s="69">
        <f>SUM(F39-E39)</f>
        <v>0</v>
      </c>
      <c r="J39" s="69">
        <f>SUM(F39/E39)*100</f>
        <v>100</v>
      </c>
      <c r="K39" s="18">
        <f>24933.4-593.7</f>
        <v>24339.7</v>
      </c>
      <c r="L39" s="18">
        <v>26672</v>
      </c>
      <c r="M39" s="18">
        <v>26672</v>
      </c>
      <c r="N39" s="18">
        <f>SUM(M39-K39)</f>
        <v>2332.2999999999993</v>
      </c>
      <c r="O39" s="18">
        <f>SUM(M39/K39)*100</f>
        <v>109.58228737412539</v>
      </c>
      <c r="P39" s="18">
        <f>SUM(M39-L39)</f>
        <v>0</v>
      </c>
      <c r="Q39" s="18">
        <f>SUM(M39/L39)*100</f>
        <v>100</v>
      </c>
    </row>
    <row r="40" spans="1:17" ht="34.5" customHeight="1" x14ac:dyDescent="0.25">
      <c r="A40" s="34"/>
      <c r="B40" s="32"/>
      <c r="C40" s="22" t="s">
        <v>46</v>
      </c>
      <c r="D40" s="67">
        <v>600000</v>
      </c>
      <c r="E40" s="67">
        <v>600000</v>
      </c>
      <c r="F40" s="67">
        <v>600000</v>
      </c>
      <c r="G40" s="67">
        <f t="shared" si="13"/>
        <v>0</v>
      </c>
      <c r="H40" s="68">
        <f t="shared" si="21"/>
        <v>100</v>
      </c>
      <c r="I40" s="69">
        <f t="shared" ref="I40:I42" si="36">SUM(F40-E40)</f>
        <v>0</v>
      </c>
      <c r="J40" s="69">
        <f t="shared" ref="J40:J42" si="37">SUM(F40/E40)*100</f>
        <v>100</v>
      </c>
      <c r="K40" s="18">
        <v>1200</v>
      </c>
      <c r="L40" s="18">
        <v>1283.7</v>
      </c>
      <c r="M40" s="18">
        <v>1283.7</v>
      </c>
      <c r="N40" s="18">
        <f t="shared" ref="N40:N41" si="38">SUM(M40-K40)</f>
        <v>83.700000000000045</v>
      </c>
      <c r="O40" s="18">
        <f>SUM(M40/K40)*100</f>
        <v>106.97499999999999</v>
      </c>
      <c r="P40" s="18">
        <f t="shared" ref="P40:P42" si="39">SUM(M40-L40)</f>
        <v>0</v>
      </c>
      <c r="Q40" s="18">
        <f t="shared" ref="Q40:Q42" si="40">SUM(M40/L40)*100</f>
        <v>100</v>
      </c>
    </row>
    <row r="41" spans="1:17" ht="48" customHeight="1" x14ac:dyDescent="0.25">
      <c r="A41" s="21">
        <v>18</v>
      </c>
      <c r="B41" s="22" t="s">
        <v>42</v>
      </c>
      <c r="C41" s="22" t="s">
        <v>43</v>
      </c>
      <c r="D41" s="67">
        <v>35</v>
      </c>
      <c r="E41" s="67">
        <v>28</v>
      </c>
      <c r="F41" s="67">
        <v>28</v>
      </c>
      <c r="G41" s="67">
        <f t="shared" si="13"/>
        <v>-7</v>
      </c>
      <c r="H41" s="68">
        <f t="shared" si="21"/>
        <v>80</v>
      </c>
      <c r="I41" s="69">
        <f t="shared" si="36"/>
        <v>0</v>
      </c>
      <c r="J41" s="69">
        <f t="shared" si="37"/>
        <v>100</v>
      </c>
      <c r="K41" s="18">
        <v>1700.7</v>
      </c>
      <c r="L41" s="18">
        <v>1819.3</v>
      </c>
      <c r="M41" s="18">
        <v>1819.3</v>
      </c>
      <c r="N41" s="18">
        <f t="shared" si="38"/>
        <v>118.59999999999991</v>
      </c>
      <c r="O41" s="18">
        <f>SUM(M41/K41)*100</f>
        <v>106.97359910625038</v>
      </c>
      <c r="P41" s="74">
        <f t="shared" si="39"/>
        <v>0</v>
      </c>
      <c r="Q41" s="18">
        <f t="shared" si="40"/>
        <v>100</v>
      </c>
    </row>
    <row r="42" spans="1:17" ht="47.25" x14ac:dyDescent="0.25">
      <c r="A42" s="27">
        <v>19</v>
      </c>
      <c r="B42" s="28" t="s">
        <v>63</v>
      </c>
      <c r="C42" s="22" t="s">
        <v>43</v>
      </c>
      <c r="D42" s="75">
        <v>0</v>
      </c>
      <c r="E42" s="76">
        <v>84</v>
      </c>
      <c r="F42" s="76">
        <v>84</v>
      </c>
      <c r="G42" s="76">
        <f t="shared" si="13"/>
        <v>84</v>
      </c>
      <c r="H42" s="77" t="e">
        <f t="shared" si="21"/>
        <v>#DIV/0!</v>
      </c>
      <c r="I42" s="76">
        <f t="shared" si="36"/>
        <v>0</v>
      </c>
      <c r="J42" s="76">
        <f t="shared" si="37"/>
        <v>100</v>
      </c>
      <c r="K42" s="76">
        <v>0</v>
      </c>
      <c r="L42" s="76">
        <v>678.4</v>
      </c>
      <c r="M42" s="76">
        <v>678.4</v>
      </c>
      <c r="N42" s="18">
        <f t="shared" ref="N42" si="41">SUM(M42-K42)</f>
        <v>678.4</v>
      </c>
      <c r="O42" s="30" t="e">
        <f>SUM(M42/K42)*100</f>
        <v>#DIV/0!</v>
      </c>
      <c r="P42" s="18">
        <f t="shared" si="39"/>
        <v>0</v>
      </c>
      <c r="Q42" s="18">
        <f t="shared" si="40"/>
        <v>100</v>
      </c>
    </row>
    <row r="43" spans="1:17" ht="15.75" x14ac:dyDescent="0.25">
      <c r="B43" s="1"/>
      <c r="C43" s="1"/>
      <c r="D43" s="4"/>
    </row>
    <row r="44" spans="1:17" ht="15.75" x14ac:dyDescent="0.25">
      <c r="B44" s="1"/>
      <c r="C44" s="1"/>
      <c r="D44" s="4"/>
    </row>
    <row r="45" spans="1:17" ht="15.75" x14ac:dyDescent="0.25">
      <c r="B45" s="1"/>
      <c r="C45" s="1"/>
      <c r="D45" s="2"/>
    </row>
    <row r="46" spans="1:17" ht="15.75" x14ac:dyDescent="0.25">
      <c r="B46" s="3"/>
      <c r="C46" s="3"/>
      <c r="D46" s="5"/>
    </row>
    <row r="47" spans="1:17" ht="15.75" x14ac:dyDescent="0.25">
      <c r="B47" s="1"/>
      <c r="C47" s="1"/>
      <c r="D47" s="1"/>
    </row>
  </sheetData>
  <mergeCells count="22">
    <mergeCell ref="M6:M7"/>
    <mergeCell ref="N6:Q6"/>
    <mergeCell ref="N7:O7"/>
    <mergeCell ref="P7:Q7"/>
    <mergeCell ref="L5:Q5"/>
    <mergeCell ref="L6:L7"/>
    <mergeCell ref="B39:B40"/>
    <mergeCell ref="A39:A40"/>
    <mergeCell ref="A2:Q2"/>
    <mergeCell ref="F6:F7"/>
    <mergeCell ref="G6:J6"/>
    <mergeCell ref="G7:H7"/>
    <mergeCell ref="I7:J7"/>
    <mergeCell ref="D4:J4"/>
    <mergeCell ref="A4:A8"/>
    <mergeCell ref="K4:Q4"/>
    <mergeCell ref="K5:K7"/>
    <mergeCell ref="C4:C8"/>
    <mergeCell ref="B4:B8"/>
    <mergeCell ref="D5:D7"/>
    <mergeCell ref="E5:J5"/>
    <mergeCell ref="E6:E7"/>
  </mergeCells>
  <pageMargins left="0.19685039370078741" right="0.19685039370078741" top="0.19685039370078741" bottom="0.19685039370078741" header="0.31496062992125984" footer="0.31496062992125984"/>
  <pageSetup paperSize="9" scale="46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размещения на сайте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2019-03-12T06:35:57Z</dcterms:modified>
</cp:coreProperties>
</file>