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для размещения на сайте" sheetId="1" r:id="rId1"/>
  </sheets>
  <calcPr calcId="144525"/>
</workbook>
</file>

<file path=xl/calcChain.xml><?xml version="1.0" encoding="utf-8"?>
<calcChain xmlns="http://schemas.openxmlformats.org/spreadsheetml/2006/main">
  <c r="U19" i="1" l="1"/>
  <c r="T19" i="1"/>
  <c r="N19" i="1"/>
  <c r="O19" i="1"/>
  <c r="M19" i="1"/>
  <c r="P37" i="1"/>
  <c r="Q37" i="1"/>
  <c r="R37" i="1"/>
  <c r="G37" i="1"/>
  <c r="H37" i="1"/>
  <c r="I37" i="1"/>
  <c r="P36" i="1"/>
  <c r="Q36" i="1"/>
  <c r="R36" i="1"/>
  <c r="S36" i="1"/>
  <c r="G36" i="1"/>
  <c r="H36" i="1"/>
  <c r="I36" i="1"/>
  <c r="J36" i="1"/>
  <c r="S38" i="1"/>
  <c r="R38" i="1"/>
  <c r="Q38" i="1"/>
  <c r="P38" i="1"/>
  <c r="S35" i="1"/>
  <c r="R35" i="1"/>
  <c r="Q35" i="1"/>
  <c r="P35" i="1"/>
  <c r="S34" i="1"/>
  <c r="R34" i="1"/>
  <c r="Q34" i="1"/>
  <c r="P34" i="1"/>
  <c r="S33" i="1"/>
  <c r="R33" i="1"/>
  <c r="Q33" i="1"/>
  <c r="P33" i="1"/>
  <c r="S32" i="1"/>
  <c r="R32" i="1"/>
  <c r="Q32" i="1"/>
  <c r="P32" i="1"/>
  <c r="S31" i="1"/>
  <c r="R31" i="1"/>
  <c r="Q31" i="1"/>
  <c r="P31" i="1"/>
  <c r="S30" i="1"/>
  <c r="R30" i="1"/>
  <c r="Q30" i="1"/>
  <c r="P30" i="1"/>
  <c r="S29" i="1"/>
  <c r="R29" i="1"/>
  <c r="Q29" i="1"/>
  <c r="P29" i="1"/>
  <c r="S28" i="1"/>
  <c r="R28" i="1"/>
  <c r="Q28" i="1"/>
  <c r="P28" i="1"/>
  <c r="S27" i="1"/>
  <c r="R27" i="1"/>
  <c r="Q27" i="1"/>
  <c r="P27" i="1"/>
  <c r="S26" i="1"/>
  <c r="R26" i="1"/>
  <c r="Q26" i="1"/>
  <c r="P26" i="1"/>
  <c r="R25" i="1"/>
  <c r="P25" i="1"/>
  <c r="S24" i="1"/>
  <c r="R24" i="1"/>
  <c r="Q24" i="1"/>
  <c r="P24" i="1"/>
  <c r="S23" i="1"/>
  <c r="R23" i="1"/>
  <c r="P23" i="1"/>
  <c r="R22" i="1"/>
  <c r="P22" i="1"/>
  <c r="S21" i="1"/>
  <c r="R21" i="1"/>
  <c r="Q21" i="1"/>
  <c r="P21" i="1"/>
  <c r="R20" i="1"/>
  <c r="J38" i="1"/>
  <c r="I38" i="1"/>
  <c r="H38" i="1"/>
  <c r="G38" i="1"/>
  <c r="J35" i="1"/>
  <c r="I35" i="1"/>
  <c r="H35" i="1"/>
  <c r="G35" i="1"/>
  <c r="J34" i="1"/>
  <c r="I34" i="1"/>
  <c r="H34" i="1"/>
  <c r="G34" i="1"/>
  <c r="J33" i="1"/>
  <c r="I33" i="1"/>
  <c r="H33" i="1"/>
  <c r="G33" i="1"/>
  <c r="J32" i="1"/>
  <c r="I32" i="1"/>
  <c r="H32" i="1"/>
  <c r="G32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J24" i="1"/>
  <c r="I24" i="1"/>
  <c r="H24" i="1"/>
  <c r="G24" i="1"/>
  <c r="J23" i="1"/>
  <c r="I23" i="1"/>
  <c r="G23" i="1"/>
  <c r="J22" i="1"/>
  <c r="I22" i="1"/>
  <c r="G22" i="1"/>
  <c r="J21" i="1"/>
  <c r="I21" i="1"/>
  <c r="H21" i="1"/>
  <c r="G21" i="1"/>
  <c r="J20" i="1"/>
  <c r="I20" i="1"/>
  <c r="G20" i="1"/>
  <c r="E38" i="1" l="1"/>
  <c r="E16" i="1"/>
  <c r="D17" i="1"/>
  <c r="L12" i="1" l="1"/>
  <c r="K12" i="1"/>
  <c r="F12" i="1"/>
  <c r="E12" i="1"/>
  <c r="D12" i="1"/>
  <c r="U12" i="1"/>
  <c r="T12" i="1"/>
  <c r="O15" i="1"/>
  <c r="O14" i="1"/>
  <c r="O13" i="1"/>
  <c r="O12" i="1"/>
  <c r="N14" i="1"/>
  <c r="N15" i="1"/>
  <c r="N13" i="1"/>
  <c r="N12" i="1"/>
  <c r="M14" i="1"/>
  <c r="M15" i="1"/>
  <c r="M13" i="1"/>
  <c r="M12" i="1"/>
  <c r="N11" i="1"/>
  <c r="D21" i="1" l="1"/>
  <c r="D26" i="1"/>
  <c r="E11" i="1" l="1"/>
  <c r="M17" i="1" l="1"/>
  <c r="M11" i="1"/>
  <c r="N10" i="1"/>
  <c r="N17" i="1"/>
  <c r="U10" i="1"/>
  <c r="T10" i="1"/>
  <c r="O10" i="1"/>
  <c r="U17" i="1"/>
  <c r="T17" i="1"/>
  <c r="O17" i="1"/>
  <c r="S17" i="1" s="1"/>
  <c r="U11" i="1"/>
  <c r="T11" i="1"/>
  <c r="O11" i="1"/>
  <c r="R12" i="1"/>
  <c r="Q12" i="1"/>
  <c r="P13" i="1"/>
  <c r="Q13" i="1"/>
  <c r="R13" i="1"/>
  <c r="S13" i="1"/>
  <c r="P14" i="1"/>
  <c r="Q14" i="1"/>
  <c r="R14" i="1"/>
  <c r="S14" i="1"/>
  <c r="P15" i="1"/>
  <c r="Q15" i="1"/>
  <c r="R15" i="1"/>
  <c r="S15" i="1"/>
  <c r="P16" i="1"/>
  <c r="Q16" i="1"/>
  <c r="R16" i="1"/>
  <c r="S16" i="1"/>
  <c r="P18" i="1"/>
  <c r="Q18" i="1"/>
  <c r="R18" i="1"/>
  <c r="S18" i="1"/>
  <c r="L17" i="1"/>
  <c r="K17" i="1"/>
  <c r="F17" i="1"/>
  <c r="I17" i="1" s="1"/>
  <c r="E17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J17" i="1"/>
  <c r="G18" i="1"/>
  <c r="H18" i="1"/>
  <c r="I18" i="1"/>
  <c r="J18" i="1"/>
  <c r="J11" i="1"/>
  <c r="I11" i="1"/>
  <c r="G11" i="1"/>
  <c r="D11" i="1"/>
  <c r="H11" i="1" s="1"/>
  <c r="U9" i="1" l="1"/>
  <c r="O9" i="1"/>
  <c r="S19" i="1"/>
  <c r="R19" i="1"/>
  <c r="T9" i="1"/>
  <c r="M10" i="1"/>
  <c r="R10" i="1"/>
  <c r="S10" i="1"/>
  <c r="N9" i="1"/>
  <c r="H17" i="1"/>
  <c r="R17" i="1"/>
  <c r="Q17" i="1"/>
  <c r="P17" i="1"/>
  <c r="Q11" i="1"/>
  <c r="R11" i="1"/>
  <c r="P11" i="1"/>
  <c r="S11" i="1"/>
  <c r="P12" i="1"/>
  <c r="S12" i="1"/>
  <c r="S40" i="1"/>
  <c r="S41" i="1"/>
  <c r="S39" i="1"/>
  <c r="R40" i="1"/>
  <c r="R41" i="1"/>
  <c r="R39" i="1"/>
  <c r="Q40" i="1"/>
  <c r="P40" i="1"/>
  <c r="P41" i="1"/>
  <c r="Q39" i="1"/>
  <c r="P39" i="1"/>
  <c r="J40" i="1"/>
  <c r="J41" i="1"/>
  <c r="I40" i="1"/>
  <c r="I41" i="1"/>
  <c r="R9" i="1" l="1"/>
  <c r="Q10" i="1"/>
  <c r="P10" i="1"/>
  <c r="S9" i="1"/>
  <c r="J39" i="1"/>
  <c r="I39" i="1"/>
  <c r="H40" i="1"/>
  <c r="H39" i="1"/>
  <c r="G40" i="1"/>
  <c r="G41" i="1"/>
  <c r="G39" i="1"/>
  <c r="P20" i="1"/>
  <c r="M9" i="1"/>
  <c r="Q9" i="1" s="1"/>
  <c r="P19" i="1"/>
  <c r="Q19" i="1"/>
  <c r="P9" i="1" l="1"/>
</calcChain>
</file>

<file path=xl/sharedStrings.xml><?xml version="1.0" encoding="utf-8"?>
<sst xmlns="http://schemas.openxmlformats.org/spreadsheetml/2006/main" count="135" uniqueCount="67">
  <si>
    <t>Наименование муниципальной услуги</t>
  </si>
  <si>
    <t>Организация отдыха детей и молодежи</t>
  </si>
  <si>
    <t>Предоставление питания</t>
  </si>
  <si>
    <t>Единица измерения муниципальной услуги</t>
  </si>
  <si>
    <t>2016 год (факт)</t>
  </si>
  <si>
    <t>2017 (оценка)</t>
  </si>
  <si>
    <t>План</t>
  </si>
  <si>
    <t>2018 год</t>
  </si>
  <si>
    <t>Сравнение</t>
  </si>
  <si>
    <t>к 2016 году</t>
  </si>
  <si>
    <t>к 2017 году (оценка)</t>
  </si>
  <si>
    <t>%</t>
  </si>
  <si>
    <t>2019 год (план)</t>
  </si>
  <si>
    <t>2020 (план)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</si>
  <si>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</si>
  <si>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</si>
  <si>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</si>
  <si>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</si>
  <si>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</si>
  <si>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</si>
  <si>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</si>
  <si>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</si>
  <si>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</si>
  <si>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</si>
  <si>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Показ (организация показа) концертов и концертных программ</t>
  </si>
  <si>
    <t xml:space="preserve">Организация и проведение культурно-массовых меропрятий </t>
  </si>
  <si>
    <t xml:space="preserve">количество публичных выступлений </t>
  </si>
  <si>
    <t>число зрителей</t>
  </si>
  <si>
    <t>количество мероприятий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</si>
  <si>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</si>
  <si>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</si>
  <si>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 xml:space="preserve">количество клубных формирований 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</si>
  <si>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</si>
  <si>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</si>
  <si>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</si>
  <si>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</si>
  <si>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</si>
  <si>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</si>
  <si>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</si>
  <si>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</si>
  <si>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</si>
  <si>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</si>
  <si>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</si>
  <si>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</si>
  <si>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</si>
  <si>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</si>
  <si>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</si>
  <si>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</si>
  <si>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</si>
  <si>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</si>
  <si>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</si>
  <si>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</si>
  <si>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</si>
  <si>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</si>
  <si>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</si>
  <si>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Приложение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</si>
  <si>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</si>
  <si>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</si>
  <si>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</si>
  <si>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</si>
  <si>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</si>
  <si>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</si>
  <si>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</si>
  <si>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</si>
  <si>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Сведения о планируемых на 2018 год и плановый период 2019 и 2020 годов объемах оказания муниципальных услуг (работ), планируемых объемах субсидий на их финансовое обеспечение и результаты оценки потребности в услугах социальной сферы</t>
  </si>
  <si>
    <t>,</t>
  </si>
  <si>
    <t xml:space="preserve">Реализация дополнительных общеразвивающих  программ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</si>
</sst>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1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/>
    <xf numFmtId="0" fontId="7" fillId="0" borderId="5" xfId="0" applyFont="1" applyBorder="1" applyAlignment="1"/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top"/>
    </xf>
    <xf numFmtId="0" fontId="2" fillId="0" borderId="1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/>
    </sheetView>
  </sheetViews>
  <sheetFormatPr defaultRowHeight="15" x14ac:dyDescent="0.25"/>
  <cols>
    <col min="1" max="1" width="4.5703125" customWidth="1"/>
    <col min="2" max="2" width="58.140625" customWidth="1"/>
    <col min="3" max="3" width="17.7109375" customWidth="1"/>
    <col min="4" max="4" width="16.42578125" customWidth="1"/>
    <col min="5" max="5" width="16.5703125" customWidth="1"/>
    <col min="6" max="6" width="16.7109375" customWidth="1"/>
    <col min="7" max="7" width="15.42578125" customWidth="1"/>
    <col min="8" max="8" width="13.140625" customWidth="1"/>
    <col min="9" max="9" width="15.7109375" customWidth="1"/>
    <col min="10" max="10" width="15.42578125" customWidth="1"/>
    <col min="11" max="11" width="13.7109375" customWidth="1"/>
    <col min="12" max="12" width="13.140625" customWidth="1"/>
    <col min="13" max="13" width="16" bestFit="1" customWidth="1"/>
    <col min="14" max="14" width="14.5703125" bestFit="1" customWidth="1"/>
    <col min="15" max="16" width="12.42578125" bestFit="1" customWidth="1"/>
    <col min="17" max="17" width="10.42578125" customWidth="1"/>
    <col min="18" max="18" width="12.42578125" bestFit="1" customWidth="1"/>
    <col min="19" max="19" width="9.7109375" customWidth="1"/>
    <col min="20" max="20" width="16.140625" bestFit="1" customWidth="1"/>
    <col min="21" max="21" width="12.42578125" bestFit="1" customWidth="1"/>
  </cols>
  <sheetData>
    <row r="1" spans="1:21" ht="15.75" x14ac:dyDescent="0.25">
      <c r="T1" s="7" t="s">
        <v>55</v>
      </c>
    </row>
    <row r="2" spans="1:21" ht="15.75" x14ac:dyDescent="0.25">
      <c r="A2" s="40" t="s">
        <v>64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16.5" thickBot="1" x14ac:dyDescent="0.3">
      <c r="A3" t="s">
        <v>65</v>
      </c>
      <c r="B3" s="1"/>
      <c r="C3" s="1"/>
      <c r="D3" s="4"/>
    </row>
    <row r="4" spans="1:21" ht="20.100000000000001" customHeight="1" x14ac:dyDescent="0.25">
      <c r="A4" s="46" t="s">
        <v>16</v>
      </c>
      <c r="B4" s="49" t="s">
        <v>0</v>
      </c>
      <c r="C4" s="49" t="s">
        <v>3</v>
      </c>
      <c r="D4" s="42" t="s">
        <v>18</v>
      </c>
      <c r="E4" s="43"/>
      <c r="F4" s="43"/>
      <c r="G4" s="43"/>
      <c r="H4" s="43"/>
      <c r="I4" s="43"/>
      <c r="J4" s="43"/>
      <c r="K4" s="44"/>
      <c r="L4" s="45"/>
      <c r="M4" s="42" t="s">
        <v>19</v>
      </c>
      <c r="N4" s="43"/>
      <c r="O4" s="43"/>
      <c r="P4" s="43"/>
      <c r="Q4" s="43"/>
      <c r="R4" s="43"/>
      <c r="S4" s="43"/>
      <c r="T4" s="44"/>
      <c r="U4" s="45"/>
    </row>
    <row r="5" spans="1:21" ht="20.100000000000001" customHeight="1" x14ac:dyDescent="0.25">
      <c r="A5" s="47"/>
      <c r="B5" s="50"/>
      <c r="C5" s="50"/>
      <c r="D5" s="34" t="s">
        <v>4</v>
      </c>
      <c r="E5" s="36" t="s">
        <v>5</v>
      </c>
      <c r="F5" s="36" t="s">
        <v>7</v>
      </c>
      <c r="G5" s="37"/>
      <c r="H5" s="37"/>
      <c r="I5" s="37"/>
      <c r="J5" s="37"/>
      <c r="K5" s="36" t="s">
        <v>12</v>
      </c>
      <c r="L5" s="38" t="s">
        <v>13</v>
      </c>
      <c r="M5" s="34" t="s">
        <v>4</v>
      </c>
      <c r="N5" s="36" t="s">
        <v>5</v>
      </c>
      <c r="O5" s="36" t="s">
        <v>7</v>
      </c>
      <c r="P5" s="37"/>
      <c r="Q5" s="37"/>
      <c r="R5" s="37"/>
      <c r="S5" s="37"/>
      <c r="T5" s="36" t="s">
        <v>12</v>
      </c>
      <c r="U5" s="38" t="s">
        <v>13</v>
      </c>
    </row>
    <row r="6" spans="1:21" ht="20.100000000000001" customHeight="1" x14ac:dyDescent="0.25">
      <c r="A6" s="47"/>
      <c r="B6" s="50"/>
      <c r="C6" s="50"/>
      <c r="D6" s="35"/>
      <c r="E6" s="37"/>
      <c r="F6" s="36" t="s">
        <v>6</v>
      </c>
      <c r="G6" s="36" t="s">
        <v>8</v>
      </c>
      <c r="H6" s="37"/>
      <c r="I6" s="37"/>
      <c r="J6" s="37"/>
      <c r="K6" s="37"/>
      <c r="L6" s="39"/>
      <c r="M6" s="35"/>
      <c r="N6" s="37"/>
      <c r="O6" s="36" t="s">
        <v>6</v>
      </c>
      <c r="P6" s="36" t="s">
        <v>8</v>
      </c>
      <c r="Q6" s="37"/>
      <c r="R6" s="37"/>
      <c r="S6" s="37"/>
      <c r="T6" s="37"/>
      <c r="U6" s="39"/>
    </row>
    <row r="7" spans="1:21" ht="42" customHeight="1" x14ac:dyDescent="0.25">
      <c r="A7" s="47"/>
      <c r="B7" s="53"/>
      <c r="C7" s="51"/>
      <c r="D7" s="35"/>
      <c r="E7" s="37"/>
      <c r="F7" s="37"/>
      <c r="G7" s="36" t="s">
        <v>9</v>
      </c>
      <c r="H7" s="37"/>
      <c r="I7" s="36" t="s">
        <v>10</v>
      </c>
      <c r="J7" s="37"/>
      <c r="K7" s="37"/>
      <c r="L7" s="39"/>
      <c r="M7" s="35"/>
      <c r="N7" s="37"/>
      <c r="O7" s="37"/>
      <c r="P7" s="36" t="s">
        <v>9</v>
      </c>
      <c r="Q7" s="37"/>
      <c r="R7" s="36" t="s">
        <v>10</v>
      </c>
      <c r="S7" s="37"/>
      <c r="T7" s="37"/>
      <c r="U7" s="39"/>
    </row>
    <row r="8" spans="1:21" ht="35.25" customHeight="1" thickBot="1" x14ac:dyDescent="0.3">
      <c r="A8" s="48"/>
      <c r="B8" s="54"/>
      <c r="C8" s="52"/>
      <c r="D8" s="13" t="s">
        <v>53</v>
      </c>
      <c r="E8" s="14" t="s">
        <v>53</v>
      </c>
      <c r="F8" s="14" t="s">
        <v>53</v>
      </c>
      <c r="G8" s="14" t="s">
        <v>53</v>
      </c>
      <c r="H8" s="14" t="s">
        <v>11</v>
      </c>
      <c r="I8" s="14" t="s">
        <v>53</v>
      </c>
      <c r="J8" s="14" t="s">
        <v>11</v>
      </c>
      <c r="K8" s="14" t="s">
        <v>53</v>
      </c>
      <c r="L8" s="15" t="s">
        <v>53</v>
      </c>
      <c r="M8" s="22" t="s">
        <v>63</v>
      </c>
      <c r="N8" s="14" t="s">
        <v>63</v>
      </c>
      <c r="O8" s="14" t="s">
        <v>63</v>
      </c>
      <c r="P8" s="14" t="s">
        <v>63</v>
      </c>
      <c r="Q8" s="14" t="s">
        <v>11</v>
      </c>
      <c r="R8" s="14" t="s">
        <v>63</v>
      </c>
      <c r="S8" s="14" t="s">
        <v>11</v>
      </c>
      <c r="T8" s="14" t="s">
        <v>63</v>
      </c>
      <c r="U8" s="23" t="s">
        <v>63</v>
      </c>
    </row>
    <row r="9" spans="1:21" ht="68.25" customHeight="1" x14ac:dyDescent="0.25">
      <c r="A9" s="8"/>
      <c r="B9" s="17" t="s">
        <v>56</v>
      </c>
      <c r="C9" s="16"/>
      <c r="D9" s="20" t="s">
        <v>61</v>
      </c>
      <c r="E9" s="20" t="s">
        <v>61</v>
      </c>
      <c r="F9" s="20" t="s">
        <v>61</v>
      </c>
      <c r="G9" s="20" t="s">
        <v>61</v>
      </c>
      <c r="H9" s="20" t="s">
        <v>61</v>
      </c>
      <c r="I9" s="20" t="s">
        <v>61</v>
      </c>
      <c r="J9" s="20" t="s">
        <v>61</v>
      </c>
      <c r="K9" s="20" t="s">
        <v>61</v>
      </c>
      <c r="L9" s="20" t="s">
        <v>61</v>
      </c>
      <c r="M9" s="24">
        <f>SUM(M10+M19)</f>
        <v>1060607.77</v>
      </c>
      <c r="N9" s="24">
        <f t="shared" ref="N9:O9" si="0">SUM(N10+N19)</f>
        <v>1100746.97</v>
      </c>
      <c r="O9" s="24">
        <f t="shared" si="0"/>
        <v>1190978.0999999999</v>
      </c>
      <c r="P9" s="25">
        <f>SUM(O9-M9)</f>
        <v>130370.32999999984</v>
      </c>
      <c r="Q9" s="25">
        <f>SUM(O9/M9)*100</f>
        <v>112.292039874458</v>
      </c>
      <c r="R9" s="25">
        <f>SUM(O9-N9)</f>
        <v>90231.129999999888</v>
      </c>
      <c r="S9" s="25">
        <f>SUM(O9/N9)*100</f>
        <v>108.19726353641472</v>
      </c>
      <c r="T9" s="24">
        <f t="shared" ref="T9" si="1">SUM(T10+T19)</f>
        <v>1230287.1000000001</v>
      </c>
      <c r="U9" s="24">
        <f t="shared" ref="U9" si="2">SUM(U10+U19)</f>
        <v>1193088.3</v>
      </c>
    </row>
    <row r="10" spans="1:21" ht="35.25" customHeight="1" x14ac:dyDescent="0.25">
      <c r="A10" s="19" t="s">
        <v>59</v>
      </c>
      <c r="B10" s="18" t="s">
        <v>57</v>
      </c>
      <c r="C10" s="9"/>
      <c r="D10" s="20" t="s">
        <v>61</v>
      </c>
      <c r="E10" s="20" t="s">
        <v>61</v>
      </c>
      <c r="F10" s="20" t="s">
        <v>61</v>
      </c>
      <c r="G10" s="20" t="s">
        <v>61</v>
      </c>
      <c r="H10" s="20" t="s">
        <v>61</v>
      </c>
      <c r="I10" s="20" t="s">
        <v>61</v>
      </c>
      <c r="J10" s="20" t="s">
        <v>61</v>
      </c>
      <c r="K10" s="20" t="s">
        <v>61</v>
      </c>
      <c r="L10" s="20" t="s">
        <v>61</v>
      </c>
      <c r="M10" s="26">
        <f>SUM(M11+M12+M13+M14+M15+M16+M17+M18)</f>
        <v>872420.47</v>
      </c>
      <c r="N10" s="26">
        <f t="shared" ref="N10:O10" si="3">SUM(N11+N12+N13+N14+N15+N16+N17+N18)</f>
        <v>892872.36999999988</v>
      </c>
      <c r="O10" s="26">
        <f t="shared" si="3"/>
        <v>953591.2</v>
      </c>
      <c r="P10" s="27">
        <f>SUM(O10-M10)</f>
        <v>81170.729999999981</v>
      </c>
      <c r="Q10" s="27">
        <f>SUM(O10/M10)*100</f>
        <v>109.30408361463594</v>
      </c>
      <c r="R10" s="27">
        <f>SUM(O10-N10)</f>
        <v>60718.830000000075</v>
      </c>
      <c r="S10" s="27">
        <f>SUM(O10/N10)*100</f>
        <v>106.80039298337792</v>
      </c>
      <c r="T10" s="26">
        <f t="shared" ref="T10" si="4">SUM(T11+T12+T13+T14+T15+T16+T17+T18)</f>
        <v>990038.8</v>
      </c>
      <c r="U10" s="26">
        <f t="shared" ref="U10" si="5">SUM(U11+U12+U13+U14+U15+U16+U17+U18)</f>
        <v>998968.3</v>
      </c>
    </row>
    <row r="11" spans="1:21" ht="31.5" x14ac:dyDescent="0.25">
      <c r="A11" s="63">
        <v>1</v>
      </c>
      <c r="B11" s="64" t="s">
        <v>14</v>
      </c>
      <c r="C11" s="64" t="s">
        <v>17</v>
      </c>
      <c r="D11" s="55">
        <f>58+1366</f>
        <v>1424</v>
      </c>
      <c r="E11" s="55">
        <f>45+12+1435</f>
        <v>1492</v>
      </c>
      <c r="F11" s="55">
        <v>1492</v>
      </c>
      <c r="G11" s="55">
        <f>SUM(F11-D11)</f>
        <v>68</v>
      </c>
      <c r="H11" s="12">
        <f>SUM(F11/D11)*100</f>
        <v>104.7752808988764</v>
      </c>
      <c r="I11" s="11">
        <f>SUM(F11-E11)</f>
        <v>0</v>
      </c>
      <c r="J11" s="11">
        <f>SUM(F11/E11)*100</f>
        <v>100</v>
      </c>
      <c r="K11" s="55">
        <v>1492</v>
      </c>
      <c r="L11" s="55">
        <v>1492</v>
      </c>
      <c r="M11" s="28">
        <f>11837+322869.4+5817.2+245.4</f>
        <v>340769.00000000006</v>
      </c>
      <c r="N11" s="28">
        <f>11706.2+330623.3+9980.3+409</f>
        <v>352718.8</v>
      </c>
      <c r="O11" s="28">
        <f>8810.4+345127.5+13998.4+409</f>
        <v>368345.30000000005</v>
      </c>
      <c r="P11" s="29">
        <f>SUM(O11-M11)</f>
        <v>27576.299999999988</v>
      </c>
      <c r="Q11" s="29">
        <f>SUM(O11/M11)*100</f>
        <v>108.09237342598652</v>
      </c>
      <c r="R11" s="29">
        <f>SUM(O11-N11)</f>
        <v>15626.500000000058</v>
      </c>
      <c r="S11" s="29">
        <f>SUM(O11/N11)*100</f>
        <v>104.4302997175087</v>
      </c>
      <c r="T11" s="29">
        <f>8810.4+358932.6+14558.3+409</f>
        <v>382710.3</v>
      </c>
      <c r="U11" s="29">
        <f>8810.4+373289.9+15140.6+409</f>
        <v>397649.9</v>
      </c>
    </row>
    <row r="12" spans="1:21" ht="31.5" x14ac:dyDescent="0.25">
      <c r="A12" s="65">
        <v>2</v>
      </c>
      <c r="B12" s="66" t="s">
        <v>15</v>
      </c>
      <c r="C12" s="66" t="s">
        <v>17</v>
      </c>
      <c r="D12" s="55">
        <f>58+1366+65+25+34</f>
        <v>1548</v>
      </c>
      <c r="E12" s="55">
        <f>45+12+1435+72+25+46</f>
        <v>1635</v>
      </c>
      <c r="F12" s="55">
        <f>45+12+1435+72+25+46</f>
        <v>1635</v>
      </c>
      <c r="G12" s="56">
        <f t="shared" ref="G12:G18" si="6">SUM(F12-D12)</f>
        <v>87</v>
      </c>
      <c r="H12" s="10">
        <f t="shared" ref="H12:H18" si="7">SUM(F12/D12)*100</f>
        <v>105.62015503875971</v>
      </c>
      <c r="I12" s="6">
        <f t="shared" ref="I12:I18" si="8">SUM(F12-E12)</f>
        <v>0</v>
      </c>
      <c r="J12" s="6">
        <f t="shared" ref="J12:J18" si="9">SUM(F12/E12)*100</f>
        <v>100</v>
      </c>
      <c r="K12" s="55">
        <f>45+12+1435+72+25+46</f>
        <v>1635</v>
      </c>
      <c r="L12" s="55">
        <f>45+12+1435+72+25+46</f>
        <v>1635</v>
      </c>
      <c r="M12" s="30">
        <f>91232.3+5413.4</f>
        <v>96645.7</v>
      </c>
      <c r="N12" s="30">
        <f>98322.3+7342.6+1947</f>
        <v>107611.90000000001</v>
      </c>
      <c r="O12" s="30">
        <f>105987.8+10339+364</f>
        <v>116690.8</v>
      </c>
      <c r="P12" s="31">
        <f t="shared" ref="P12:P18" si="10">SUM(O12-M12)</f>
        <v>20045.100000000006</v>
      </c>
      <c r="Q12" s="31">
        <f t="shared" ref="Q12:Q18" si="11">SUM(O12/M12)*100</f>
        <v>120.74080895476986</v>
      </c>
      <c r="R12" s="31">
        <f t="shared" ref="R12:R18" si="12">SUM(O12-N12)</f>
        <v>9078.8999999999942</v>
      </c>
      <c r="S12" s="31">
        <f t="shared" ref="S12:S18" si="13">SUM(O12/N12)*100</f>
        <v>108.4367063493907</v>
      </c>
      <c r="T12" s="31">
        <f>108364.8+364+10750</f>
        <v>119478.8</v>
      </c>
      <c r="U12" s="31">
        <f>94763.6+364+8385.8</f>
        <v>103513.40000000001</v>
      </c>
    </row>
    <row r="13" spans="1:21" ht="31.5" x14ac:dyDescent="0.25">
      <c r="A13" s="65">
        <v>3</v>
      </c>
      <c r="B13" s="66" t="s">
        <v>20</v>
      </c>
      <c r="C13" s="66" t="s">
        <v>17</v>
      </c>
      <c r="D13" s="57">
        <v>1174</v>
      </c>
      <c r="E13" s="56">
        <v>1094</v>
      </c>
      <c r="F13" s="56">
        <v>1094</v>
      </c>
      <c r="G13" s="56">
        <f t="shared" si="6"/>
        <v>-80</v>
      </c>
      <c r="H13" s="10">
        <f t="shared" si="7"/>
        <v>93.185689948892673</v>
      </c>
      <c r="I13" s="6">
        <f t="shared" si="8"/>
        <v>0</v>
      </c>
      <c r="J13" s="6">
        <f t="shared" si="9"/>
        <v>100</v>
      </c>
      <c r="K13" s="56">
        <v>1094</v>
      </c>
      <c r="L13" s="56">
        <v>1094</v>
      </c>
      <c r="M13" s="31">
        <f>153164.12-2057.1-6389.4</f>
        <v>144717.62</v>
      </c>
      <c r="N13" s="31">
        <f>149643.53-2790.2-6911.1</f>
        <v>139942.22999999998</v>
      </c>
      <c r="O13" s="31">
        <f>162303.85-3185.9-7187.5</f>
        <v>151930.45000000001</v>
      </c>
      <c r="P13" s="31">
        <f t="shared" si="10"/>
        <v>7212.8300000000163</v>
      </c>
      <c r="Q13" s="31">
        <f t="shared" si="11"/>
        <v>104.98407173915658</v>
      </c>
      <c r="R13" s="31">
        <f t="shared" si="12"/>
        <v>11988.22000000003</v>
      </c>
      <c r="S13" s="31">
        <f t="shared" si="13"/>
        <v>108.56654921105661</v>
      </c>
      <c r="T13" s="31">
        <v>158426.9</v>
      </c>
      <c r="U13" s="31">
        <v>165534.29999999999</v>
      </c>
    </row>
    <row r="14" spans="1:21" ht="31.5" x14ac:dyDescent="0.25">
      <c r="A14" s="65">
        <v>4</v>
      </c>
      <c r="B14" s="66" t="s">
        <v>21</v>
      </c>
      <c r="C14" s="66" t="s">
        <v>17</v>
      </c>
      <c r="D14" s="57">
        <v>1418</v>
      </c>
      <c r="E14" s="56">
        <v>1484</v>
      </c>
      <c r="F14" s="56">
        <v>1484</v>
      </c>
      <c r="G14" s="56">
        <f t="shared" si="6"/>
        <v>66</v>
      </c>
      <c r="H14" s="10">
        <f t="shared" si="7"/>
        <v>104.65444287729196</v>
      </c>
      <c r="I14" s="6">
        <f t="shared" si="8"/>
        <v>0</v>
      </c>
      <c r="J14" s="6">
        <f t="shared" si="9"/>
        <v>100</v>
      </c>
      <c r="K14" s="56">
        <v>1484</v>
      </c>
      <c r="L14" s="56">
        <v>1484</v>
      </c>
      <c r="M14" s="31">
        <f>209593-541.3-1681.4</f>
        <v>207370.30000000002</v>
      </c>
      <c r="N14" s="31">
        <f>204775.36-734.2-1818.7</f>
        <v>202222.45999999996</v>
      </c>
      <c r="O14" s="31">
        <f>222100.01-838.4-1891.4</f>
        <v>219370.21000000002</v>
      </c>
      <c r="P14" s="31">
        <f t="shared" si="10"/>
        <v>11999.910000000003</v>
      </c>
      <c r="Q14" s="31">
        <f t="shared" si="11"/>
        <v>105.78670619659614</v>
      </c>
      <c r="R14" s="31">
        <f t="shared" si="12"/>
        <v>17147.750000000058</v>
      </c>
      <c r="S14" s="31">
        <f t="shared" si="13"/>
        <v>108.47964662283312</v>
      </c>
      <c r="T14" s="31">
        <v>216794.6</v>
      </c>
      <c r="U14" s="31">
        <v>226520.6</v>
      </c>
    </row>
    <row r="15" spans="1:21" ht="31.5" x14ac:dyDescent="0.25">
      <c r="A15" s="65">
        <v>5</v>
      </c>
      <c r="B15" s="66" t="s">
        <v>22</v>
      </c>
      <c r="C15" s="66" t="s">
        <v>17</v>
      </c>
      <c r="D15" s="57">
        <v>281</v>
      </c>
      <c r="E15" s="56">
        <v>271</v>
      </c>
      <c r="F15" s="56">
        <v>271</v>
      </c>
      <c r="G15" s="56">
        <f t="shared" si="6"/>
        <v>-10</v>
      </c>
      <c r="H15" s="10">
        <f t="shared" si="7"/>
        <v>96.441281138790032</v>
      </c>
      <c r="I15" s="6">
        <f t="shared" si="8"/>
        <v>0</v>
      </c>
      <c r="J15" s="6">
        <f t="shared" si="9"/>
        <v>100</v>
      </c>
      <c r="K15" s="56">
        <v>271</v>
      </c>
      <c r="L15" s="56">
        <v>271</v>
      </c>
      <c r="M15" s="31">
        <f>40306.35-2815-8743.4</f>
        <v>28747.949999999997</v>
      </c>
      <c r="N15" s="31">
        <f>39379.88-3818.2-9457.2</f>
        <v>26104.48</v>
      </c>
      <c r="O15" s="31">
        <f>42711.54-4359.7-9835.6</f>
        <v>28516.240000000005</v>
      </c>
      <c r="P15" s="31">
        <f t="shared" si="10"/>
        <v>-231.70999999999185</v>
      </c>
      <c r="Q15" s="31">
        <f t="shared" si="11"/>
        <v>99.193994702230967</v>
      </c>
      <c r="R15" s="31">
        <f t="shared" si="12"/>
        <v>2411.7600000000057</v>
      </c>
      <c r="S15" s="31">
        <f t="shared" si="13"/>
        <v>109.23887394041178</v>
      </c>
      <c r="T15" s="31">
        <v>41691.300000000003</v>
      </c>
      <c r="U15" s="31">
        <v>43561.599999999999</v>
      </c>
    </row>
    <row r="16" spans="1:21" ht="31.5" x14ac:dyDescent="0.25">
      <c r="A16" s="65">
        <v>6</v>
      </c>
      <c r="B16" s="66" t="s">
        <v>1</v>
      </c>
      <c r="C16" s="66" t="s">
        <v>52</v>
      </c>
      <c r="D16" s="57">
        <v>650</v>
      </c>
      <c r="E16" s="56">
        <f>767+95</f>
        <v>862</v>
      </c>
      <c r="F16" s="56">
        <v>817</v>
      </c>
      <c r="G16" s="56">
        <f t="shared" si="6"/>
        <v>167</v>
      </c>
      <c r="H16" s="10">
        <f t="shared" si="7"/>
        <v>125.69230769230771</v>
      </c>
      <c r="I16" s="6">
        <f t="shared" si="8"/>
        <v>-45</v>
      </c>
      <c r="J16" s="6">
        <f t="shared" si="9"/>
        <v>94.779582366589338</v>
      </c>
      <c r="K16" s="56">
        <v>817</v>
      </c>
      <c r="L16" s="56">
        <v>817</v>
      </c>
      <c r="M16" s="31">
        <v>2846.1</v>
      </c>
      <c r="N16" s="31">
        <v>4785.7</v>
      </c>
      <c r="O16" s="31">
        <v>6307</v>
      </c>
      <c r="P16" s="31">
        <f t="shared" si="10"/>
        <v>3460.9</v>
      </c>
      <c r="Q16" s="31">
        <f t="shared" si="11"/>
        <v>221.60148975791435</v>
      </c>
      <c r="R16" s="31">
        <f t="shared" si="12"/>
        <v>1521.3000000000002</v>
      </c>
      <c r="S16" s="31">
        <f t="shared" si="13"/>
        <v>131.78845309985999</v>
      </c>
      <c r="T16" s="31">
        <v>6307</v>
      </c>
      <c r="U16" s="31">
        <v>4414.8999999999996</v>
      </c>
    </row>
    <row r="17" spans="1:21" ht="31.5" x14ac:dyDescent="0.25">
      <c r="A17" s="65">
        <v>7</v>
      </c>
      <c r="B17" s="66" t="s">
        <v>23</v>
      </c>
      <c r="C17" s="66" t="s">
        <v>17</v>
      </c>
      <c r="D17" s="57">
        <f>1284</f>
        <v>1284</v>
      </c>
      <c r="E17" s="56">
        <f>1209+613</f>
        <v>1822</v>
      </c>
      <c r="F17" s="56">
        <f>1200+613</f>
        <v>1813</v>
      </c>
      <c r="G17" s="56">
        <f t="shared" si="6"/>
        <v>529</v>
      </c>
      <c r="H17" s="10">
        <f t="shared" si="7"/>
        <v>141.19937694704049</v>
      </c>
      <c r="I17" s="6">
        <f t="shared" si="8"/>
        <v>-9</v>
      </c>
      <c r="J17" s="6">
        <f t="shared" si="9"/>
        <v>99.506037321624589</v>
      </c>
      <c r="K17" s="21">
        <f>1200+613</f>
        <v>1813</v>
      </c>
      <c r="L17" s="21">
        <f>1200+613</f>
        <v>1813</v>
      </c>
      <c r="M17" s="31">
        <f>34509.6</f>
        <v>34509.599999999999</v>
      </c>
      <c r="N17" s="31">
        <f>465+4344.6+36490.2</f>
        <v>41299.799999999996</v>
      </c>
      <c r="O17" s="31">
        <f>357+4051.8+39057.9+50</f>
        <v>43516.700000000004</v>
      </c>
      <c r="P17" s="31">
        <f t="shared" si="10"/>
        <v>9007.1000000000058</v>
      </c>
      <c r="Q17" s="31">
        <f t="shared" si="11"/>
        <v>126.10027354707098</v>
      </c>
      <c r="R17" s="31">
        <f t="shared" si="12"/>
        <v>2216.9000000000087</v>
      </c>
      <c r="S17" s="31">
        <f t="shared" si="13"/>
        <v>105.36782260446785</v>
      </c>
      <c r="T17" s="31">
        <f>357+4213.9+40337.9+50</f>
        <v>44958.8</v>
      </c>
      <c r="U17" s="31">
        <f>357+4382+32526.7+50</f>
        <v>37315.699999999997</v>
      </c>
    </row>
    <row r="18" spans="1:21" ht="31.5" x14ac:dyDescent="0.25">
      <c r="A18" s="65">
        <v>8</v>
      </c>
      <c r="B18" s="66" t="s">
        <v>2</v>
      </c>
      <c r="C18" s="66" t="s">
        <v>17</v>
      </c>
      <c r="D18" s="56">
        <v>2174</v>
      </c>
      <c r="E18" s="56">
        <v>2188</v>
      </c>
      <c r="F18" s="56">
        <v>2076</v>
      </c>
      <c r="G18" s="56">
        <f t="shared" si="6"/>
        <v>-98</v>
      </c>
      <c r="H18" s="10">
        <f t="shared" si="7"/>
        <v>95.492180312787482</v>
      </c>
      <c r="I18" s="6">
        <f t="shared" si="8"/>
        <v>-112</v>
      </c>
      <c r="J18" s="6">
        <f t="shared" si="9"/>
        <v>94.881170018281537</v>
      </c>
      <c r="K18" s="56">
        <v>2076</v>
      </c>
      <c r="L18" s="56">
        <v>2076</v>
      </c>
      <c r="M18" s="31">
        <v>16814.2</v>
      </c>
      <c r="N18" s="31">
        <v>18187</v>
      </c>
      <c r="O18" s="31">
        <v>18914.5</v>
      </c>
      <c r="P18" s="31">
        <f t="shared" si="10"/>
        <v>2100.2999999999993</v>
      </c>
      <c r="Q18" s="31">
        <f t="shared" si="11"/>
        <v>112.49122765281724</v>
      </c>
      <c r="R18" s="31">
        <f t="shared" si="12"/>
        <v>727.5</v>
      </c>
      <c r="S18" s="31">
        <f t="shared" si="13"/>
        <v>104.00010996865893</v>
      </c>
      <c r="T18" s="31">
        <v>19671.099999999999</v>
      </c>
      <c r="U18" s="31">
        <v>20457.900000000001</v>
      </c>
    </row>
    <row r="19" spans="1:21" ht="35.25" customHeight="1" x14ac:dyDescent="0.25">
      <c r="A19" s="67" t="s">
        <v>60</v>
      </c>
      <c r="B19" s="68" t="s">
        <v>58</v>
      </c>
      <c r="C19" s="66"/>
      <c r="D19" s="58" t="s">
        <v>61</v>
      </c>
      <c r="E19" s="58" t="s">
        <v>61</v>
      </c>
      <c r="F19" s="58" t="s">
        <v>61</v>
      </c>
      <c r="G19" s="58" t="s">
        <v>61</v>
      </c>
      <c r="H19" s="20" t="s">
        <v>61</v>
      </c>
      <c r="I19" s="20" t="s">
        <v>61</v>
      </c>
      <c r="J19" s="20" t="s">
        <v>61</v>
      </c>
      <c r="K19" s="58" t="s">
        <v>61</v>
      </c>
      <c r="L19" s="58" t="s">
        <v>61</v>
      </c>
      <c r="M19" s="32">
        <f>SUM(M20+M21+M22+M23+M24+M25+M26+M27+M28+M29+M30+M31+M32+M33+M34+M35+M39+M40+M41+M36+M37+M38)</f>
        <v>188187.30000000002</v>
      </c>
      <c r="N19" s="32">
        <f t="shared" ref="N19:O19" si="14">SUM(N20+N21+N22+N23+N24+N25+N26+N27+N28+N29+N30+N31+N32+N33+N34+N35+N39+N40+N41+N36+N37+N38)</f>
        <v>207874.6</v>
      </c>
      <c r="O19" s="32">
        <f t="shared" si="14"/>
        <v>237386.9</v>
      </c>
      <c r="P19" s="25">
        <f>SUM(O19-M19)</f>
        <v>49199.599999999977</v>
      </c>
      <c r="Q19" s="25">
        <f>SUM(O19/M19)*100</f>
        <v>126.14395339111617</v>
      </c>
      <c r="R19" s="25">
        <f>SUM(O19-N19)</f>
        <v>29512.299999999988</v>
      </c>
      <c r="S19" s="25">
        <f>SUM(O19/N19)*100</f>
        <v>114.19716502160438</v>
      </c>
      <c r="T19" s="32">
        <f t="shared" ref="T19" si="15">SUM(T20+T21+T22+T23+T24+T25+T26+T27+T28+T29+T30+T31+T32+T33+T34+T35+T39+T40+T41+T36+T37+T38)</f>
        <v>240248.30000000005</v>
      </c>
      <c r="U19" s="32">
        <f t="shared" ref="U19" si="16">SUM(U20+U21+U22+U23+U24+U25+U26+U27+U28+U29+U30+U31+U32+U33+U34+U35+U39+U40+U41+U36+U37+U38)</f>
        <v>194120</v>
      </c>
    </row>
    <row r="20" spans="1:21" ht="47.25" hidden="1" x14ac:dyDescent="0.25">
      <c r="A20" s="65">
        <v>1</v>
      </c>
      <c r="B20" s="69" t="s">
        <v>24</v>
      </c>
      <c r="C20" s="66" t="s">
        <v>26</v>
      </c>
      <c r="D20" s="56"/>
      <c r="E20" s="56">
        <v>65</v>
      </c>
      <c r="F20" s="56">
        <v>55</v>
      </c>
      <c r="G20" s="56">
        <f t="shared" ref="G20:G38" si="17">SUM(F20-D20)</f>
        <v>55</v>
      </c>
      <c r="H20" s="10">
        <v>0</v>
      </c>
      <c r="I20" s="6">
        <f t="shared" ref="I20:I38" si="18">SUM(F20-E20)</f>
        <v>-10</v>
      </c>
      <c r="J20" s="6">
        <f t="shared" ref="J20:J38" si="19">SUM(F20/E20)*100</f>
        <v>84.615384615384613</v>
      </c>
      <c r="K20" s="21">
        <v>55</v>
      </c>
      <c r="L20" s="21">
        <v>55</v>
      </c>
      <c r="M20" s="33"/>
      <c r="N20" s="33"/>
      <c r="O20" s="33"/>
      <c r="P20" s="31">
        <f t="shared" ref="P20:P38" si="20">SUM(O20-M20)</f>
        <v>0</v>
      </c>
      <c r="Q20" s="31">
        <v>0</v>
      </c>
      <c r="R20" s="31">
        <f t="shared" ref="R20:R38" si="21">SUM(O20-N20)</f>
        <v>0</v>
      </c>
      <c r="S20" s="31">
        <v>0</v>
      </c>
      <c r="T20" s="33"/>
      <c r="U20" s="33"/>
    </row>
    <row r="21" spans="1:21" ht="31.5" x14ac:dyDescent="0.25">
      <c r="A21" s="65">
        <v>1</v>
      </c>
      <c r="B21" s="66" t="s">
        <v>24</v>
      </c>
      <c r="C21" s="66" t="s">
        <v>27</v>
      </c>
      <c r="D21" s="56">
        <f>22065+7103</f>
        <v>29168</v>
      </c>
      <c r="E21" s="56">
        <v>25000</v>
      </c>
      <c r="F21" s="56">
        <v>21504</v>
      </c>
      <c r="G21" s="56">
        <f t="shared" si="17"/>
        <v>-7664</v>
      </c>
      <c r="H21" s="10">
        <f t="shared" ref="H21:H38" si="22">SUM(F21/D21)*100</f>
        <v>73.724629731212289</v>
      </c>
      <c r="I21" s="6">
        <f t="shared" si="18"/>
        <v>-3496</v>
      </c>
      <c r="J21" s="6">
        <f t="shared" si="19"/>
        <v>86.016000000000005</v>
      </c>
      <c r="K21" s="21">
        <v>21504</v>
      </c>
      <c r="L21" s="21">
        <v>21504</v>
      </c>
      <c r="M21" s="31">
        <v>40500.699999999997</v>
      </c>
      <c r="N21" s="31">
        <v>31670.9</v>
      </c>
      <c r="O21" s="31">
        <v>38686.9</v>
      </c>
      <c r="P21" s="31">
        <f t="shared" si="20"/>
        <v>-1813.7999999999956</v>
      </c>
      <c r="Q21" s="31">
        <f t="shared" ref="Q21:Q38" si="23">SUM(O21/M21)*100</f>
        <v>95.521558886636541</v>
      </c>
      <c r="R21" s="31">
        <f t="shared" si="21"/>
        <v>7016</v>
      </c>
      <c r="S21" s="31">
        <f t="shared" ref="S21:S38" si="24">SUM(O21/N21)*100</f>
        <v>122.15282799036341</v>
      </c>
      <c r="T21" s="31">
        <v>39943.1</v>
      </c>
      <c r="U21" s="31">
        <v>32133.3</v>
      </c>
    </row>
    <row r="22" spans="1:21" ht="31.5" hidden="1" x14ac:dyDescent="0.25">
      <c r="A22" s="65">
        <v>2</v>
      </c>
      <c r="B22" s="69" t="s">
        <v>25</v>
      </c>
      <c r="C22" s="66" t="s">
        <v>28</v>
      </c>
      <c r="D22" s="56"/>
      <c r="E22" s="56">
        <v>190</v>
      </c>
      <c r="F22" s="56">
        <v>190</v>
      </c>
      <c r="G22" s="56">
        <f t="shared" si="17"/>
        <v>190</v>
      </c>
      <c r="H22" s="10">
        <v>0</v>
      </c>
      <c r="I22" s="6">
        <f t="shared" si="18"/>
        <v>0</v>
      </c>
      <c r="J22" s="6">
        <f t="shared" si="19"/>
        <v>100</v>
      </c>
      <c r="K22" s="21">
        <v>190</v>
      </c>
      <c r="L22" s="21">
        <v>190</v>
      </c>
      <c r="M22" s="31"/>
      <c r="N22" s="31"/>
      <c r="O22" s="31"/>
      <c r="P22" s="31">
        <f t="shared" si="20"/>
        <v>0</v>
      </c>
      <c r="Q22" s="31">
        <v>0</v>
      </c>
      <c r="R22" s="31">
        <f t="shared" si="21"/>
        <v>0</v>
      </c>
      <c r="S22" s="31">
        <v>0</v>
      </c>
      <c r="T22" s="31"/>
      <c r="U22" s="31"/>
    </row>
    <row r="23" spans="1:21" ht="47.25" x14ac:dyDescent="0.25">
      <c r="A23" s="65">
        <v>2</v>
      </c>
      <c r="B23" s="66" t="s">
        <v>25</v>
      </c>
      <c r="C23" s="66" t="s">
        <v>29</v>
      </c>
      <c r="D23" s="56"/>
      <c r="E23" s="56">
        <v>16861</v>
      </c>
      <c r="F23" s="56">
        <v>16861</v>
      </c>
      <c r="G23" s="56">
        <f t="shared" si="17"/>
        <v>16861</v>
      </c>
      <c r="H23" s="10">
        <v>0</v>
      </c>
      <c r="I23" s="6">
        <f t="shared" si="18"/>
        <v>0</v>
      </c>
      <c r="J23" s="6">
        <f t="shared" si="19"/>
        <v>100</v>
      </c>
      <c r="K23" s="21">
        <v>16861</v>
      </c>
      <c r="L23" s="21">
        <v>16861</v>
      </c>
      <c r="M23" s="31"/>
      <c r="N23" s="31">
        <v>13096.1</v>
      </c>
      <c r="O23" s="31">
        <v>15997.2</v>
      </c>
      <c r="P23" s="31">
        <f t="shared" si="20"/>
        <v>15997.2</v>
      </c>
      <c r="Q23" s="31">
        <v>0</v>
      </c>
      <c r="R23" s="31">
        <f t="shared" si="21"/>
        <v>2901.1000000000004</v>
      </c>
      <c r="S23" s="31">
        <f t="shared" si="24"/>
        <v>122.15239651499301</v>
      </c>
      <c r="T23" s="31">
        <v>16516.7</v>
      </c>
      <c r="U23" s="31">
        <v>13287.3</v>
      </c>
    </row>
    <row r="24" spans="1:21" ht="47.25" x14ac:dyDescent="0.25">
      <c r="A24" s="65">
        <v>3</v>
      </c>
      <c r="B24" s="66" t="s">
        <v>30</v>
      </c>
      <c r="C24" s="66" t="s">
        <v>31</v>
      </c>
      <c r="D24" s="56">
        <v>47</v>
      </c>
      <c r="E24" s="56">
        <v>50</v>
      </c>
      <c r="F24" s="56">
        <v>46</v>
      </c>
      <c r="G24" s="56">
        <f t="shared" si="17"/>
        <v>-1</v>
      </c>
      <c r="H24" s="10">
        <f t="shared" si="22"/>
        <v>97.872340425531917</v>
      </c>
      <c r="I24" s="6">
        <f t="shared" si="18"/>
        <v>-4</v>
      </c>
      <c r="J24" s="6">
        <f t="shared" si="19"/>
        <v>92</v>
      </c>
      <c r="K24" s="21">
        <v>46</v>
      </c>
      <c r="L24" s="21">
        <v>46</v>
      </c>
      <c r="M24" s="31">
        <v>59.2</v>
      </c>
      <c r="N24" s="31">
        <v>67.7</v>
      </c>
      <c r="O24" s="31">
        <v>82.8</v>
      </c>
      <c r="P24" s="31">
        <f t="shared" si="20"/>
        <v>23.599999999999994</v>
      </c>
      <c r="Q24" s="31">
        <f t="shared" si="23"/>
        <v>139.86486486486484</v>
      </c>
      <c r="R24" s="31">
        <f t="shared" si="21"/>
        <v>15.099999999999994</v>
      </c>
      <c r="S24" s="31">
        <f t="shared" si="24"/>
        <v>122.30428360413588</v>
      </c>
      <c r="T24" s="31">
        <v>85.4</v>
      </c>
      <c r="U24" s="31">
        <v>68.7</v>
      </c>
    </row>
    <row r="25" spans="1:21" ht="31.5" hidden="1" customHeight="1" x14ac:dyDescent="0.25">
      <c r="A25" s="65"/>
      <c r="B25" s="69" t="s">
        <v>30</v>
      </c>
      <c r="C25" s="66" t="s">
        <v>32</v>
      </c>
      <c r="D25" s="56">
        <v>551</v>
      </c>
      <c r="E25" s="56">
        <v>689</v>
      </c>
      <c r="F25" s="56">
        <v>656</v>
      </c>
      <c r="G25" s="56">
        <f t="shared" si="17"/>
        <v>105</v>
      </c>
      <c r="H25" s="10">
        <f t="shared" si="22"/>
        <v>119.05626134301271</v>
      </c>
      <c r="I25" s="6">
        <f t="shared" si="18"/>
        <v>-33</v>
      </c>
      <c r="J25" s="6">
        <f t="shared" si="19"/>
        <v>95.210449927431057</v>
      </c>
      <c r="K25" s="21">
        <v>656</v>
      </c>
      <c r="L25" s="21">
        <v>656</v>
      </c>
      <c r="M25" s="31"/>
      <c r="N25" s="31"/>
      <c r="O25" s="31"/>
      <c r="P25" s="31">
        <f t="shared" si="20"/>
        <v>0</v>
      </c>
      <c r="Q25" s="31">
        <v>0</v>
      </c>
      <c r="R25" s="31">
        <f t="shared" si="21"/>
        <v>0</v>
      </c>
      <c r="S25" s="31">
        <v>0</v>
      </c>
      <c r="T25" s="31"/>
      <c r="U25" s="31"/>
    </row>
    <row r="26" spans="1:21" ht="31.5" x14ac:dyDescent="0.25">
      <c r="A26" s="65">
        <v>4</v>
      </c>
      <c r="B26" s="66" t="s">
        <v>33</v>
      </c>
      <c r="C26" s="66" t="s">
        <v>34</v>
      </c>
      <c r="D26" s="56">
        <f>100409+3158</f>
        <v>103567</v>
      </c>
      <c r="E26" s="56">
        <v>103000</v>
      </c>
      <c r="F26" s="56">
        <v>103000</v>
      </c>
      <c r="G26" s="56">
        <f t="shared" si="17"/>
        <v>-567</v>
      </c>
      <c r="H26" s="10">
        <f t="shared" si="22"/>
        <v>99.452528315003818</v>
      </c>
      <c r="I26" s="6">
        <f t="shared" si="18"/>
        <v>0</v>
      </c>
      <c r="J26" s="6">
        <f t="shared" si="19"/>
        <v>100</v>
      </c>
      <c r="K26" s="21">
        <v>103000</v>
      </c>
      <c r="L26" s="21">
        <v>103000</v>
      </c>
      <c r="M26" s="31">
        <v>34434.400000000001</v>
      </c>
      <c r="N26" s="31">
        <v>40297.9</v>
      </c>
      <c r="O26" s="31">
        <v>47561.2</v>
      </c>
      <c r="P26" s="31">
        <f t="shared" si="20"/>
        <v>13126.799999999996</v>
      </c>
      <c r="Q26" s="31">
        <f t="shared" si="23"/>
        <v>138.12118114443695</v>
      </c>
      <c r="R26" s="31">
        <f t="shared" si="21"/>
        <v>7263.2999999999956</v>
      </c>
      <c r="S26" s="31">
        <f t="shared" si="24"/>
        <v>118.02401613979883</v>
      </c>
      <c r="T26" s="31">
        <v>49225</v>
      </c>
      <c r="U26" s="31">
        <v>39279.5</v>
      </c>
    </row>
    <row r="27" spans="1:21" ht="31.5" x14ac:dyDescent="0.25">
      <c r="A27" s="65">
        <v>5</v>
      </c>
      <c r="B27" s="70" t="s">
        <v>35</v>
      </c>
      <c r="C27" s="66" t="s">
        <v>36</v>
      </c>
      <c r="D27" s="56">
        <v>3209</v>
      </c>
      <c r="E27" s="56">
        <v>2475</v>
      </c>
      <c r="F27" s="56">
        <v>2722</v>
      </c>
      <c r="G27" s="56">
        <f t="shared" si="17"/>
        <v>-487</v>
      </c>
      <c r="H27" s="10">
        <f t="shared" si="22"/>
        <v>84.823932689311306</v>
      </c>
      <c r="I27" s="6">
        <f t="shared" si="18"/>
        <v>247</v>
      </c>
      <c r="J27" s="6">
        <f t="shared" si="19"/>
        <v>109.97979797979798</v>
      </c>
      <c r="K27" s="21">
        <v>2722</v>
      </c>
      <c r="L27" s="21">
        <v>2722</v>
      </c>
      <c r="M27" s="31">
        <v>1062.3</v>
      </c>
      <c r="N27" s="31">
        <v>968.3</v>
      </c>
      <c r="O27" s="31">
        <v>1256.9000000000001</v>
      </c>
      <c r="P27" s="31">
        <f t="shared" si="20"/>
        <v>194.60000000000014</v>
      </c>
      <c r="Q27" s="31">
        <f t="shared" si="23"/>
        <v>118.31874235150148</v>
      </c>
      <c r="R27" s="31">
        <f t="shared" si="21"/>
        <v>288.60000000000014</v>
      </c>
      <c r="S27" s="31">
        <f t="shared" si="24"/>
        <v>129.8048125580915</v>
      </c>
      <c r="T27" s="31">
        <v>1300.9000000000001</v>
      </c>
      <c r="U27" s="31">
        <v>1038.0999999999999</v>
      </c>
    </row>
    <row r="28" spans="1:21" ht="47.25" x14ac:dyDescent="0.25">
      <c r="A28" s="65">
        <v>6</v>
      </c>
      <c r="B28" s="66" t="s">
        <v>62</v>
      </c>
      <c r="C28" s="66" t="s">
        <v>36</v>
      </c>
      <c r="D28" s="56">
        <v>6667</v>
      </c>
      <c r="E28" s="56">
        <v>3475</v>
      </c>
      <c r="F28" s="56">
        <v>3482</v>
      </c>
      <c r="G28" s="56">
        <f t="shared" si="17"/>
        <v>-3185</v>
      </c>
      <c r="H28" s="10">
        <f t="shared" si="22"/>
        <v>52.22738863056847</v>
      </c>
      <c r="I28" s="6">
        <f t="shared" si="18"/>
        <v>7</v>
      </c>
      <c r="J28" s="6">
        <f t="shared" si="19"/>
        <v>100.20143884892086</v>
      </c>
      <c r="K28" s="21">
        <v>3489</v>
      </c>
      <c r="L28" s="21">
        <v>3489</v>
      </c>
      <c r="M28" s="31">
        <v>2269.5</v>
      </c>
      <c r="N28" s="31">
        <v>1359.6</v>
      </c>
      <c r="O28" s="31">
        <v>1607.9</v>
      </c>
      <c r="P28" s="31">
        <f t="shared" si="20"/>
        <v>-661.59999999999991</v>
      </c>
      <c r="Q28" s="31">
        <f t="shared" si="23"/>
        <v>70.848204450319457</v>
      </c>
      <c r="R28" s="31">
        <f t="shared" si="21"/>
        <v>248.30000000000018</v>
      </c>
      <c r="S28" s="31">
        <f t="shared" si="24"/>
        <v>118.26272433068551</v>
      </c>
      <c r="T28" s="31">
        <v>1667.4</v>
      </c>
      <c r="U28" s="31">
        <v>1330.5</v>
      </c>
    </row>
    <row r="29" spans="1:21" ht="31.5" x14ac:dyDescent="0.25">
      <c r="A29" s="65">
        <v>7</v>
      </c>
      <c r="B29" s="66" t="s">
        <v>37</v>
      </c>
      <c r="C29" s="66" t="s">
        <v>38</v>
      </c>
      <c r="D29" s="56">
        <v>13530</v>
      </c>
      <c r="E29" s="56">
        <v>11959</v>
      </c>
      <c r="F29" s="56">
        <v>6990</v>
      </c>
      <c r="G29" s="56">
        <f t="shared" si="17"/>
        <v>-6540</v>
      </c>
      <c r="H29" s="10">
        <f t="shared" si="22"/>
        <v>51.662971175166291</v>
      </c>
      <c r="I29" s="6">
        <f t="shared" si="18"/>
        <v>-4969</v>
      </c>
      <c r="J29" s="6">
        <f t="shared" si="19"/>
        <v>58.449703152437493</v>
      </c>
      <c r="K29" s="56">
        <v>6990</v>
      </c>
      <c r="L29" s="56">
        <v>6990</v>
      </c>
      <c r="M29" s="31">
        <v>8792</v>
      </c>
      <c r="N29" s="31">
        <v>9966.1</v>
      </c>
      <c r="O29" s="31">
        <v>10721.6</v>
      </c>
      <c r="P29" s="31">
        <f t="shared" si="20"/>
        <v>1929.6000000000004</v>
      </c>
      <c r="Q29" s="31">
        <f t="shared" si="23"/>
        <v>121.94722474977253</v>
      </c>
      <c r="R29" s="31">
        <f t="shared" si="21"/>
        <v>755.5</v>
      </c>
      <c r="S29" s="31">
        <f t="shared" si="24"/>
        <v>107.580698568146</v>
      </c>
      <c r="T29" s="31">
        <v>10521.9</v>
      </c>
      <c r="U29" s="31">
        <v>8722.9</v>
      </c>
    </row>
    <row r="30" spans="1:21" ht="47.25" x14ac:dyDescent="0.25">
      <c r="A30" s="65">
        <v>8</v>
      </c>
      <c r="B30" s="66" t="s">
        <v>39</v>
      </c>
      <c r="C30" s="66" t="s">
        <v>40</v>
      </c>
      <c r="D30" s="56">
        <v>287</v>
      </c>
      <c r="E30" s="56">
        <v>103</v>
      </c>
      <c r="F30" s="56">
        <v>104</v>
      </c>
      <c r="G30" s="56">
        <f t="shared" si="17"/>
        <v>-183</v>
      </c>
      <c r="H30" s="10">
        <f t="shared" si="22"/>
        <v>36.236933797909408</v>
      </c>
      <c r="I30" s="6">
        <f t="shared" si="18"/>
        <v>1</v>
      </c>
      <c r="J30" s="6">
        <f t="shared" si="19"/>
        <v>100.97087378640776</v>
      </c>
      <c r="K30" s="21">
        <v>105</v>
      </c>
      <c r="L30" s="21">
        <v>133</v>
      </c>
      <c r="M30" s="31">
        <v>184.1</v>
      </c>
      <c r="N30" s="31">
        <v>151.80000000000001</v>
      </c>
      <c r="O30" s="31">
        <v>159.5</v>
      </c>
      <c r="P30" s="31">
        <f t="shared" si="20"/>
        <v>-24.599999999999994</v>
      </c>
      <c r="Q30" s="31">
        <f t="shared" si="23"/>
        <v>86.637696903856593</v>
      </c>
      <c r="R30" s="31">
        <f t="shared" si="21"/>
        <v>7.6999999999999886</v>
      </c>
      <c r="S30" s="31">
        <f t="shared" si="24"/>
        <v>105.07246376811594</v>
      </c>
      <c r="T30" s="31">
        <v>158.1</v>
      </c>
      <c r="U30" s="31">
        <v>131</v>
      </c>
    </row>
    <row r="31" spans="1:21" ht="31.5" x14ac:dyDescent="0.25">
      <c r="A31" s="65">
        <v>9</v>
      </c>
      <c r="B31" s="66" t="s">
        <v>41</v>
      </c>
      <c r="C31" s="66" t="s">
        <v>42</v>
      </c>
      <c r="D31" s="56">
        <v>45</v>
      </c>
      <c r="E31" s="56">
        <v>23</v>
      </c>
      <c r="F31" s="56">
        <v>24</v>
      </c>
      <c r="G31" s="56">
        <f t="shared" si="17"/>
        <v>-21</v>
      </c>
      <c r="H31" s="10">
        <f t="shared" si="22"/>
        <v>53.333333333333336</v>
      </c>
      <c r="I31" s="6">
        <f t="shared" si="18"/>
        <v>1</v>
      </c>
      <c r="J31" s="6">
        <f t="shared" si="19"/>
        <v>104.34782608695652</v>
      </c>
      <c r="K31" s="56">
        <v>24</v>
      </c>
      <c r="L31" s="56">
        <v>24</v>
      </c>
      <c r="M31" s="31">
        <v>30.4</v>
      </c>
      <c r="N31" s="31">
        <v>33.9</v>
      </c>
      <c r="O31" s="31">
        <v>36.799999999999997</v>
      </c>
      <c r="P31" s="31">
        <f t="shared" si="20"/>
        <v>6.3999999999999986</v>
      </c>
      <c r="Q31" s="31">
        <f t="shared" si="23"/>
        <v>121.05263157894737</v>
      </c>
      <c r="R31" s="31">
        <f t="shared" si="21"/>
        <v>2.8999999999999986</v>
      </c>
      <c r="S31" s="31">
        <f t="shared" si="24"/>
        <v>108.55457227138643</v>
      </c>
      <c r="T31" s="31">
        <v>36.1</v>
      </c>
      <c r="U31" s="31">
        <v>30</v>
      </c>
    </row>
    <row r="32" spans="1:21" ht="31.5" x14ac:dyDescent="0.25">
      <c r="A32" s="65">
        <v>10</v>
      </c>
      <c r="B32" s="66" t="s">
        <v>43</v>
      </c>
      <c r="C32" s="66" t="s">
        <v>44</v>
      </c>
      <c r="D32" s="56">
        <v>164</v>
      </c>
      <c r="E32" s="56">
        <v>153</v>
      </c>
      <c r="F32" s="56">
        <v>194</v>
      </c>
      <c r="G32" s="56">
        <f t="shared" si="17"/>
        <v>30</v>
      </c>
      <c r="H32" s="10">
        <f t="shared" si="22"/>
        <v>118.29268292682926</v>
      </c>
      <c r="I32" s="6">
        <f t="shared" si="18"/>
        <v>41</v>
      </c>
      <c r="J32" s="6">
        <f t="shared" si="19"/>
        <v>126.79738562091502</v>
      </c>
      <c r="K32" s="21">
        <v>194</v>
      </c>
      <c r="L32" s="21">
        <v>194</v>
      </c>
      <c r="M32" s="31">
        <v>20688.400000000001</v>
      </c>
      <c r="N32" s="31">
        <v>22504.2</v>
      </c>
      <c r="O32" s="31">
        <v>30046.6</v>
      </c>
      <c r="P32" s="31">
        <f t="shared" si="20"/>
        <v>9358.1999999999971</v>
      </c>
      <c r="Q32" s="31">
        <f t="shared" si="23"/>
        <v>145.23404419868137</v>
      </c>
      <c r="R32" s="31">
        <f t="shared" si="21"/>
        <v>7542.3999999999978</v>
      </c>
      <c r="S32" s="31">
        <f t="shared" si="24"/>
        <v>133.51552154708898</v>
      </c>
      <c r="T32" s="31">
        <v>30753.200000000001</v>
      </c>
      <c r="U32" s="31">
        <v>24928.400000000001</v>
      </c>
    </row>
    <row r="33" spans="1:21" ht="31.5" x14ac:dyDescent="0.25">
      <c r="A33" s="65">
        <v>11</v>
      </c>
      <c r="B33" s="66" t="s">
        <v>45</v>
      </c>
      <c r="C33" s="66" t="s">
        <v>44</v>
      </c>
      <c r="D33" s="56">
        <v>92</v>
      </c>
      <c r="E33" s="56">
        <v>80</v>
      </c>
      <c r="F33" s="56">
        <v>62</v>
      </c>
      <c r="G33" s="56">
        <f t="shared" si="17"/>
        <v>-30</v>
      </c>
      <c r="H33" s="10">
        <f t="shared" si="22"/>
        <v>67.391304347826093</v>
      </c>
      <c r="I33" s="6">
        <f t="shared" si="18"/>
        <v>-18</v>
      </c>
      <c r="J33" s="6">
        <f t="shared" si="19"/>
        <v>77.5</v>
      </c>
      <c r="K33" s="21">
        <v>62</v>
      </c>
      <c r="L33" s="21">
        <v>62</v>
      </c>
      <c r="M33" s="31">
        <v>14574</v>
      </c>
      <c r="N33" s="31">
        <v>14379.2</v>
      </c>
      <c r="O33" s="31">
        <v>12511.1</v>
      </c>
      <c r="P33" s="31">
        <f t="shared" si="20"/>
        <v>-2062.8999999999996</v>
      </c>
      <c r="Q33" s="31">
        <f t="shared" si="23"/>
        <v>85.845341018251688</v>
      </c>
      <c r="R33" s="31">
        <f t="shared" si="21"/>
        <v>-1868.1000000000004</v>
      </c>
      <c r="S33" s="31">
        <f t="shared" si="24"/>
        <v>87.008317569823078</v>
      </c>
      <c r="T33" s="31">
        <v>12363.8</v>
      </c>
      <c r="U33" s="31">
        <v>10015.299999999999</v>
      </c>
    </row>
    <row r="34" spans="1:21" ht="31.5" x14ac:dyDescent="0.25">
      <c r="A34" s="65">
        <v>12</v>
      </c>
      <c r="B34" s="66" t="s">
        <v>46</v>
      </c>
      <c r="C34" s="66" t="s">
        <v>44</v>
      </c>
      <c r="D34" s="56">
        <v>612</v>
      </c>
      <c r="E34" s="56">
        <v>628</v>
      </c>
      <c r="F34" s="56">
        <v>628</v>
      </c>
      <c r="G34" s="56">
        <f t="shared" si="17"/>
        <v>16</v>
      </c>
      <c r="H34" s="10">
        <f t="shared" si="22"/>
        <v>102.61437908496731</v>
      </c>
      <c r="I34" s="6">
        <f t="shared" si="18"/>
        <v>0</v>
      </c>
      <c r="J34" s="6">
        <f t="shared" si="19"/>
        <v>100</v>
      </c>
      <c r="K34" s="21">
        <v>628</v>
      </c>
      <c r="L34" s="21">
        <v>628</v>
      </c>
      <c r="M34" s="33">
        <v>28570.7</v>
      </c>
      <c r="N34" s="31">
        <v>28252</v>
      </c>
      <c r="O34" s="33">
        <v>32718.3</v>
      </c>
      <c r="P34" s="31">
        <f t="shared" si="20"/>
        <v>4147.5999999999985</v>
      </c>
      <c r="Q34" s="31">
        <f t="shared" si="23"/>
        <v>114.51697018273966</v>
      </c>
      <c r="R34" s="31">
        <f t="shared" si="21"/>
        <v>4466.2999999999993</v>
      </c>
      <c r="S34" s="31">
        <f t="shared" si="24"/>
        <v>115.80879229789041</v>
      </c>
      <c r="T34" s="33">
        <v>33745.300000000003</v>
      </c>
      <c r="U34" s="33">
        <v>27059.7</v>
      </c>
    </row>
    <row r="35" spans="1:21" ht="126" x14ac:dyDescent="0.25">
      <c r="A35" s="65">
        <v>13</v>
      </c>
      <c r="B35" s="66" t="s">
        <v>47</v>
      </c>
      <c r="C35" s="66" t="s">
        <v>48</v>
      </c>
      <c r="D35" s="56">
        <v>78</v>
      </c>
      <c r="E35" s="56">
        <v>78</v>
      </c>
      <c r="F35" s="56">
        <v>78</v>
      </c>
      <c r="G35" s="56">
        <f t="shared" si="17"/>
        <v>0</v>
      </c>
      <c r="H35" s="10">
        <f t="shared" si="22"/>
        <v>100</v>
      </c>
      <c r="I35" s="6">
        <f t="shared" si="18"/>
        <v>0</v>
      </c>
      <c r="J35" s="6">
        <f t="shared" si="19"/>
        <v>100</v>
      </c>
      <c r="K35" s="21">
        <v>78</v>
      </c>
      <c r="L35" s="21">
        <v>78</v>
      </c>
      <c r="M35" s="33">
        <v>3649.7</v>
      </c>
      <c r="N35" s="31">
        <v>12831.4</v>
      </c>
      <c r="O35" s="33">
        <v>13127</v>
      </c>
      <c r="P35" s="31">
        <f t="shared" si="20"/>
        <v>9477.2999999999993</v>
      </c>
      <c r="Q35" s="31">
        <f t="shared" si="23"/>
        <v>359.67339781351893</v>
      </c>
      <c r="R35" s="31">
        <f t="shared" si="21"/>
        <v>295.60000000000036</v>
      </c>
      <c r="S35" s="31">
        <f t="shared" si="24"/>
        <v>102.30372367785276</v>
      </c>
      <c r="T35" s="33">
        <v>13565</v>
      </c>
      <c r="U35" s="33">
        <v>10987.5</v>
      </c>
    </row>
    <row r="36" spans="1:21" ht="31.5" x14ac:dyDescent="0.25">
      <c r="A36" s="65">
        <v>14</v>
      </c>
      <c r="B36" s="66" t="s">
        <v>66</v>
      </c>
      <c r="C36" s="66" t="s">
        <v>44</v>
      </c>
      <c r="D36" s="56">
        <v>91</v>
      </c>
      <c r="E36" s="56">
        <v>106</v>
      </c>
      <c r="F36" s="56">
        <v>106</v>
      </c>
      <c r="G36" s="56">
        <f t="shared" si="17"/>
        <v>15</v>
      </c>
      <c r="H36" s="10">
        <f t="shared" si="22"/>
        <v>116.4835164835165</v>
      </c>
      <c r="I36" s="6">
        <f t="shared" si="18"/>
        <v>0</v>
      </c>
      <c r="J36" s="6">
        <f t="shared" si="19"/>
        <v>100</v>
      </c>
      <c r="K36" s="21">
        <v>106</v>
      </c>
      <c r="L36" s="21">
        <v>106</v>
      </c>
      <c r="M36" s="33">
        <v>4233.6000000000004</v>
      </c>
      <c r="N36" s="31">
        <v>4768.7</v>
      </c>
      <c r="O36" s="33">
        <v>4741</v>
      </c>
      <c r="P36" s="31">
        <f t="shared" si="20"/>
        <v>507.39999999999964</v>
      </c>
      <c r="Q36" s="31">
        <f t="shared" si="23"/>
        <v>111.98507180650037</v>
      </c>
      <c r="R36" s="31">
        <f t="shared" si="21"/>
        <v>-27.699999999999818</v>
      </c>
      <c r="S36" s="31">
        <f t="shared" si="24"/>
        <v>99.419128903055338</v>
      </c>
      <c r="T36" s="33">
        <v>5017.7</v>
      </c>
      <c r="U36" s="33">
        <v>4023.6</v>
      </c>
    </row>
    <row r="37" spans="1:21" ht="31.5" x14ac:dyDescent="0.25">
      <c r="A37" s="65">
        <v>15</v>
      </c>
      <c r="B37" s="66" t="s">
        <v>49</v>
      </c>
      <c r="C37" s="66" t="s">
        <v>38</v>
      </c>
      <c r="D37" s="56">
        <v>145</v>
      </c>
      <c r="E37" s="56">
        <v>0</v>
      </c>
      <c r="F37" s="56">
        <v>0</v>
      </c>
      <c r="G37" s="56">
        <f t="shared" ref="G37" si="25">SUM(F37-D37)</f>
        <v>-145</v>
      </c>
      <c r="H37" s="10">
        <f t="shared" ref="H37" si="26">SUM(F37/D37)*100</f>
        <v>0</v>
      </c>
      <c r="I37" s="6">
        <f t="shared" ref="I37" si="27">SUM(F37-E37)</f>
        <v>0</v>
      </c>
      <c r="J37" s="6">
        <v>0</v>
      </c>
      <c r="K37" s="21">
        <v>0</v>
      </c>
      <c r="L37" s="21">
        <v>0</v>
      </c>
      <c r="M37" s="33">
        <v>6749.8</v>
      </c>
      <c r="N37" s="31">
        <v>0</v>
      </c>
      <c r="O37" s="33">
        <v>0</v>
      </c>
      <c r="P37" s="31">
        <f t="shared" ref="P37" si="28">SUM(O37-M37)</f>
        <v>-6749.8</v>
      </c>
      <c r="Q37" s="31">
        <f t="shared" ref="Q37" si="29">SUM(O37/M37)*100</f>
        <v>0</v>
      </c>
      <c r="R37" s="31">
        <f t="shared" ref="R37" si="30">SUM(O37-N37)</f>
        <v>0</v>
      </c>
      <c r="S37" s="31"/>
      <c r="T37" s="33">
        <v>0</v>
      </c>
      <c r="U37" s="33">
        <v>0</v>
      </c>
    </row>
    <row r="38" spans="1:21" ht="31.5" x14ac:dyDescent="0.25">
      <c r="A38" s="65">
        <v>16</v>
      </c>
      <c r="B38" s="66" t="s">
        <v>1</v>
      </c>
      <c r="C38" s="66" t="s">
        <v>52</v>
      </c>
      <c r="D38" s="56">
        <v>25</v>
      </c>
      <c r="E38" s="56">
        <f>25+80</f>
        <v>105</v>
      </c>
      <c r="F38" s="56">
        <v>105</v>
      </c>
      <c r="G38" s="56">
        <f t="shared" si="17"/>
        <v>80</v>
      </c>
      <c r="H38" s="10">
        <f t="shared" si="22"/>
        <v>420</v>
      </c>
      <c r="I38" s="6">
        <f t="shared" si="18"/>
        <v>0</v>
      </c>
      <c r="J38" s="6">
        <f t="shared" si="19"/>
        <v>100</v>
      </c>
      <c r="K38" s="21">
        <v>105</v>
      </c>
      <c r="L38" s="21">
        <v>105</v>
      </c>
      <c r="M38" s="31">
        <v>230</v>
      </c>
      <c r="N38" s="31">
        <v>286.39999999999998</v>
      </c>
      <c r="O38" s="31">
        <v>298</v>
      </c>
      <c r="P38" s="31">
        <f t="shared" si="20"/>
        <v>68</v>
      </c>
      <c r="Q38" s="31">
        <f t="shared" si="23"/>
        <v>129.56521739130434</v>
      </c>
      <c r="R38" s="31">
        <f t="shared" si="21"/>
        <v>11.600000000000023</v>
      </c>
      <c r="S38" s="31">
        <f t="shared" si="24"/>
        <v>104.05027932960895</v>
      </c>
      <c r="T38" s="31">
        <v>298</v>
      </c>
      <c r="U38" s="31">
        <v>208.6</v>
      </c>
    </row>
    <row r="39" spans="1:21" ht="34.5" customHeight="1" x14ac:dyDescent="0.25">
      <c r="A39" s="59">
        <v>17</v>
      </c>
      <c r="B39" s="60" t="s">
        <v>49</v>
      </c>
      <c r="C39" s="66" t="s">
        <v>44</v>
      </c>
      <c r="D39" s="56">
        <v>91124</v>
      </c>
      <c r="E39" s="56">
        <v>108435</v>
      </c>
      <c r="F39" s="56">
        <v>108435</v>
      </c>
      <c r="G39" s="56">
        <f>SUM(F39-D39)</f>
        <v>17311</v>
      </c>
      <c r="H39" s="10">
        <f>SUM(F39/D39)*100</f>
        <v>118.9971906413239</v>
      </c>
      <c r="I39" s="6">
        <f>SUM(F39-E39)</f>
        <v>0</v>
      </c>
      <c r="J39" s="6">
        <f>SUM(F39/E39)*100</f>
        <v>100</v>
      </c>
      <c r="K39" s="56">
        <v>108435</v>
      </c>
      <c r="L39" s="56">
        <v>108435</v>
      </c>
      <c r="M39" s="31">
        <v>20958.5</v>
      </c>
      <c r="N39" s="31">
        <v>24940.05</v>
      </c>
      <c r="O39" s="31">
        <v>24508.9</v>
      </c>
      <c r="P39" s="33">
        <f>SUM(O39-M39)</f>
        <v>3550.4000000000015</v>
      </c>
      <c r="Q39" s="33">
        <f>SUM(O39/M39)*100</f>
        <v>116.94014361714818</v>
      </c>
      <c r="R39" s="33">
        <f>SUM(O39-N39)</f>
        <v>-431.14999999999782</v>
      </c>
      <c r="S39" s="33">
        <f>SUM(O39/N39)*100</f>
        <v>98.271254468214792</v>
      </c>
      <c r="T39" s="31">
        <v>22058</v>
      </c>
      <c r="U39" s="31">
        <v>18381.7</v>
      </c>
    </row>
    <row r="40" spans="1:21" ht="34.5" customHeight="1" x14ac:dyDescent="0.25">
      <c r="A40" s="61"/>
      <c r="B40" s="62"/>
      <c r="C40" s="66" t="s">
        <v>54</v>
      </c>
      <c r="D40" s="56">
        <v>600000</v>
      </c>
      <c r="E40" s="56">
        <v>600000</v>
      </c>
      <c r="F40" s="56">
        <v>600000</v>
      </c>
      <c r="G40" s="56">
        <f t="shared" ref="G40:G41" si="31">SUM(F40-D40)</f>
        <v>0</v>
      </c>
      <c r="H40" s="10">
        <f t="shared" ref="H40" si="32">SUM(F40/D40)*100</f>
        <v>100</v>
      </c>
      <c r="I40" s="6">
        <f t="shared" ref="I40:I41" si="33">SUM(F40-E40)</f>
        <v>0</v>
      </c>
      <c r="J40" s="6">
        <f t="shared" ref="J40:J41" si="34">SUM(F40/E40)*100</f>
        <v>100</v>
      </c>
      <c r="K40" s="56">
        <v>600000</v>
      </c>
      <c r="L40" s="56">
        <v>600000</v>
      </c>
      <c r="M40" s="31">
        <v>1200</v>
      </c>
      <c r="N40" s="31">
        <v>1200</v>
      </c>
      <c r="O40" s="31">
        <v>1014.1</v>
      </c>
      <c r="P40" s="33">
        <f t="shared" ref="P40:P41" si="35">SUM(O40-M40)</f>
        <v>-185.89999999999998</v>
      </c>
      <c r="Q40" s="33">
        <f t="shared" ref="Q40" si="36">SUM(O40/M40)*100</f>
        <v>84.508333333333326</v>
      </c>
      <c r="R40" s="33">
        <f t="shared" ref="R40:R41" si="37">SUM(O40-N40)</f>
        <v>-185.89999999999998</v>
      </c>
      <c r="S40" s="33">
        <f t="shared" ref="S40:S41" si="38">SUM(O40/N40)*100</f>
        <v>84.508333333333326</v>
      </c>
      <c r="T40" s="31">
        <v>912.7</v>
      </c>
      <c r="U40" s="31">
        <v>760.6</v>
      </c>
    </row>
    <row r="41" spans="1:21" ht="48" customHeight="1" x14ac:dyDescent="0.25">
      <c r="A41" s="65">
        <v>18</v>
      </c>
      <c r="B41" s="66" t="s">
        <v>50</v>
      </c>
      <c r="C41" s="66" t="s">
        <v>51</v>
      </c>
      <c r="D41" s="56">
        <v>0</v>
      </c>
      <c r="E41" s="56">
        <v>4</v>
      </c>
      <c r="F41" s="56">
        <v>38</v>
      </c>
      <c r="G41" s="56">
        <f t="shared" si="31"/>
        <v>38</v>
      </c>
      <c r="H41" s="6"/>
      <c r="I41" s="6">
        <f t="shared" si="33"/>
        <v>34</v>
      </c>
      <c r="J41" s="6">
        <f t="shared" si="34"/>
        <v>950</v>
      </c>
      <c r="K41" s="56">
        <v>38</v>
      </c>
      <c r="L41" s="56">
        <v>38</v>
      </c>
      <c r="M41" s="31">
        <v>0</v>
      </c>
      <c r="N41" s="31">
        <v>1100.3499999999999</v>
      </c>
      <c r="O41" s="31">
        <v>2311.1</v>
      </c>
      <c r="P41" s="33">
        <f t="shared" si="35"/>
        <v>2311.1</v>
      </c>
      <c r="Q41" s="33"/>
      <c r="R41" s="33">
        <f t="shared" si="37"/>
        <v>1210.75</v>
      </c>
      <c r="S41" s="33">
        <f t="shared" si="38"/>
        <v>210.03317126368884</v>
      </c>
      <c r="T41" s="31">
        <v>2080</v>
      </c>
      <c r="U41" s="31">
        <v>1733.3</v>
      </c>
    </row>
    <row r="42" spans="1:21" ht="15.75" x14ac:dyDescent="0.25">
      <c r="B42" s="1"/>
      <c r="C42" s="1"/>
      <c r="D42" s="4"/>
    </row>
    <row r="43" spans="1:21" ht="15.75" x14ac:dyDescent="0.25">
      <c r="B43" s="1"/>
      <c r="C43" s="1"/>
      <c r="D43" s="4"/>
    </row>
    <row r="44" spans="1:21" ht="15.75" x14ac:dyDescent="0.25">
      <c r="B44" s="1"/>
      <c r="C44" s="1"/>
      <c r="D44" s="4"/>
    </row>
    <row r="45" spans="1:21" ht="15.75" x14ac:dyDescent="0.25">
      <c r="B45" s="1"/>
      <c r="C45" s="1"/>
      <c r="D45" s="2"/>
    </row>
    <row r="46" spans="1:21" ht="15.75" x14ac:dyDescent="0.25">
      <c r="B46" s="3"/>
      <c r="C46" s="3"/>
      <c r="D46" s="5"/>
    </row>
    <row r="47" spans="1:21" ht="15.75" x14ac:dyDescent="0.25">
      <c r="B47" s="1"/>
      <c r="C47" s="1"/>
      <c r="D47" s="1"/>
    </row>
  </sheetData>
  <mergeCells count="26">
    <mergeCell ref="B39:B40"/>
    <mergeCell ref="A39:A40"/>
    <mergeCell ref="A2:U2"/>
    <mergeCell ref="F6:F7"/>
    <mergeCell ref="F5:J5"/>
    <mergeCell ref="G6:J6"/>
    <mergeCell ref="G7:H7"/>
    <mergeCell ref="I7:J7"/>
    <mergeCell ref="K5:K7"/>
    <mergeCell ref="L5:L7"/>
    <mergeCell ref="D4:L4"/>
    <mergeCell ref="A4:A8"/>
    <mergeCell ref="M4:U4"/>
    <mergeCell ref="M5:M7"/>
    <mergeCell ref="N5:N7"/>
    <mergeCell ref="O5:S5"/>
    <mergeCell ref="C4:C8"/>
    <mergeCell ref="B4:B8"/>
    <mergeCell ref="D5:D7"/>
    <mergeCell ref="E5:E7"/>
    <mergeCell ref="T5:T7"/>
    <mergeCell ref="U5:U7"/>
    <mergeCell ref="O6:O7"/>
    <mergeCell ref="P6:S6"/>
    <mergeCell ref="P7:Q7"/>
    <mergeCell ref="R7:S7"/>
  </mergeCells>
  <pageMargins left="0.19685039370078741" right="0.19685039370078741" top="0.19685039370078741" bottom="0.19685039370078741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2017-11-15T01:32:23Z</dcterms:modified>
</cp:coreProperties>
</file>